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ARMANDO.PARRA\Downloads\"/>
    </mc:Choice>
  </mc:AlternateContent>
  <xr:revisionPtr revIDLastSave="0" documentId="8_{9D9F7703-21A8-465C-8D9D-01F0CAD7E24B}" xr6:coauthVersionLast="41" xr6:coauthVersionMax="41" xr10:uidLastSave="{00000000-0000-0000-0000-000000000000}"/>
  <bookViews>
    <workbookView xWindow="-120" yWindow="-120" windowWidth="24240" windowHeight="13140" xr2:uid="{3BE9658C-A7C9-4872-96AA-7427FC3EB424}"/>
  </bookViews>
  <sheets>
    <sheet name="Hoja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 i="1" l="1"/>
  <c r="E8" i="1"/>
  <c r="F8" i="1"/>
  <c r="G8" i="1"/>
  <c r="H8" i="1"/>
  <c r="I8" i="1"/>
  <c r="J8" i="1"/>
  <c r="K8" i="1"/>
  <c r="D22" i="1"/>
  <c r="E22" i="1"/>
  <c r="F22" i="1"/>
  <c r="G22" i="1"/>
  <c r="H22" i="1"/>
  <c r="I22" i="1"/>
  <c r="J22" i="1"/>
  <c r="K22" i="1"/>
  <c r="F35" i="1"/>
  <c r="F36" i="1"/>
  <c r="E53" i="1"/>
  <c r="F53" i="1" s="1"/>
  <c r="G53" i="1" s="1"/>
  <c r="H53" i="1" s="1"/>
  <c r="F85" i="1"/>
  <c r="I85" i="1"/>
  <c r="D97" i="1"/>
  <c r="E97" i="1"/>
  <c r="F97" i="1"/>
  <c r="G97" i="1"/>
  <c r="H97" i="1"/>
  <c r="I97" i="1"/>
  <c r="J97" i="1"/>
  <c r="K97" i="1"/>
  <c r="E99" i="1"/>
  <c r="F99" i="1" s="1"/>
  <c r="G99" i="1" s="1"/>
  <c r="H99" i="1" s="1"/>
  <c r="I99" i="1" s="1"/>
  <c r="J99" i="1" s="1"/>
  <c r="K99" i="1" s="1"/>
  <c r="L99" i="1" s="1"/>
  <c r="M99" i="1" s="1"/>
  <c r="N99" i="1" s="1"/>
  <c r="O99" i="1" s="1"/>
  <c r="P99" i="1" s="1"/>
  <c r="F105" i="1"/>
  <c r="F109" i="1" s="1"/>
  <c r="D109" i="1"/>
  <c r="E109" i="1"/>
  <c r="G109" i="1"/>
  <c r="H109" i="1"/>
  <c r="I109" i="1"/>
  <c r="J109" i="1"/>
  <c r="K109" i="1"/>
  <c r="D125" i="1"/>
  <c r="E125" i="1"/>
  <c r="F125" i="1"/>
  <c r="G125" i="1"/>
  <c r="H125" i="1"/>
  <c r="I125" i="1"/>
  <c r="J125" i="1"/>
  <c r="K125" i="1"/>
  <c r="D133" i="1"/>
  <c r="E133" i="1"/>
  <c r="F133" i="1"/>
  <c r="G133" i="1"/>
  <c r="H133" i="1"/>
  <c r="I133" i="1"/>
  <c r="J133" i="1"/>
  <c r="K133" i="1"/>
  <c r="D164" i="1"/>
  <c r="E164" i="1"/>
  <c r="F164" i="1"/>
  <c r="G164" i="1"/>
  <c r="H164" i="1"/>
  <c r="I164" i="1"/>
  <c r="J164" i="1"/>
  <c r="K164" i="1"/>
  <c r="D180" i="1"/>
  <c r="E180" i="1"/>
  <c r="F180" i="1"/>
  <c r="G180" i="1"/>
  <c r="H180" i="1"/>
  <c r="I180" i="1"/>
  <c r="J180" i="1"/>
  <c r="K180" i="1"/>
  <c r="F205" i="1"/>
  <c r="I205" i="1"/>
  <c r="F232" i="1"/>
  <c r="I232" i="1"/>
  <c r="P253" i="1"/>
  <c r="Q253" i="1" s="1"/>
  <c r="P248" i="1"/>
  <c r="Q248" i="1" s="1"/>
  <c r="P246" i="1"/>
  <c r="P243" i="1"/>
  <c r="Q243" i="1" s="1"/>
  <c r="P237" i="1"/>
  <c r="Q237" i="1" s="1"/>
  <c r="Q232" i="1"/>
  <c r="Q227" i="1"/>
  <c r="P222" i="1"/>
  <c r="Q222" i="1" s="1"/>
  <c r="P218" i="1"/>
  <c r="P216" i="1"/>
  <c r="Q216" i="1" s="1"/>
  <c r="P212" i="1"/>
  <c r="P210" i="1"/>
  <c r="Q210" i="1" s="1"/>
  <c r="L205" i="1"/>
  <c r="P203" i="1"/>
  <c r="P202" i="1"/>
  <c r="P201" i="1"/>
  <c r="P200" i="1"/>
  <c r="P199" i="1"/>
  <c r="P198" i="1"/>
  <c r="P197" i="1"/>
  <c r="P193" i="1"/>
  <c r="Q193" i="1" s="1"/>
  <c r="P190" i="1"/>
  <c r="P188" i="1"/>
  <c r="Q188" i="1" s="1"/>
  <c r="P187" i="1"/>
  <c r="Q187" i="1" s="1"/>
  <c r="P183" i="1"/>
  <c r="P182" i="1"/>
  <c r="O180" i="1"/>
  <c r="N180" i="1"/>
  <c r="M180" i="1"/>
  <c r="P178" i="1"/>
  <c r="P177" i="1"/>
  <c r="P176" i="1"/>
  <c r="P175" i="1"/>
  <c r="P174" i="1"/>
  <c r="P173" i="1"/>
  <c r="P172" i="1"/>
  <c r="L171" i="1"/>
  <c r="L180" i="1" s="1"/>
  <c r="P170" i="1"/>
  <c r="P166" i="1"/>
  <c r="O164" i="1"/>
  <c r="N164" i="1"/>
  <c r="M164" i="1"/>
  <c r="P163" i="1"/>
  <c r="P162" i="1"/>
  <c r="P161" i="1"/>
  <c r="P160" i="1"/>
  <c r="P159" i="1"/>
  <c r="P158" i="1"/>
  <c r="P157" i="1"/>
  <c r="P156" i="1"/>
  <c r="L155" i="1"/>
  <c r="P155" i="1" s="1"/>
  <c r="P154" i="1"/>
  <c r="P150" i="1"/>
  <c r="P148" i="1"/>
  <c r="Q148" i="1" s="1"/>
  <c r="P143" i="1"/>
  <c r="Q143" i="1" s="1"/>
  <c r="P138" i="1"/>
  <c r="Q138" i="1" s="1"/>
  <c r="P135" i="1"/>
  <c r="O133" i="1"/>
  <c r="N133" i="1"/>
  <c r="M133" i="1"/>
  <c r="L133" i="1"/>
  <c r="P132" i="1"/>
  <c r="P131" i="1"/>
  <c r="P127" i="1"/>
  <c r="O125" i="1"/>
  <c r="N125" i="1"/>
  <c r="M125" i="1"/>
  <c r="L125" i="1"/>
  <c r="P124" i="1"/>
  <c r="P123" i="1"/>
  <c r="P119" i="1"/>
  <c r="P117" i="1"/>
  <c r="Q117" i="1" s="1"/>
  <c r="P113" i="1"/>
  <c r="Q113" i="1" s="1"/>
  <c r="O109" i="1"/>
  <c r="N109" i="1"/>
  <c r="M109" i="1"/>
  <c r="L109" i="1"/>
  <c r="P108" i="1"/>
  <c r="P107" i="1"/>
  <c r="P106" i="1"/>
  <c r="P104" i="1"/>
  <c r="P103" i="1"/>
  <c r="O97" i="1"/>
  <c r="N97" i="1"/>
  <c r="M97" i="1"/>
  <c r="L97" i="1"/>
  <c r="P96" i="1"/>
  <c r="P95" i="1"/>
  <c r="P94" i="1"/>
  <c r="P93" i="1"/>
  <c r="P92" i="1"/>
  <c r="P91" i="1"/>
  <c r="P87" i="1"/>
  <c r="L85" i="1"/>
  <c r="P84" i="1"/>
  <c r="P83" i="1"/>
  <c r="P82" i="1"/>
  <c r="P85" i="1" s="1"/>
  <c r="Q82" i="1" s="1"/>
  <c r="Q78" i="1"/>
  <c r="P78" i="1"/>
  <c r="Q74" i="1"/>
  <c r="Q70" i="1"/>
  <c r="P70" i="1"/>
  <c r="P65" i="1"/>
  <c r="Q65" i="1" s="1"/>
  <c r="Q60" i="1"/>
  <c r="P60" i="1"/>
  <c r="P57" i="1"/>
  <c r="Q57" i="1" s="1"/>
  <c r="P53" i="1"/>
  <c r="P51" i="1"/>
  <c r="Q51" i="1" s="1"/>
  <c r="P45" i="1"/>
  <c r="Q45" i="1" s="1"/>
  <c r="Q42" i="1"/>
  <c r="P42" i="1"/>
  <c r="P39" i="1"/>
  <c r="Q39" i="1" s="1"/>
  <c r="P35" i="1"/>
  <c r="Q35" i="1" s="1"/>
  <c r="P31" i="1"/>
  <c r="Q31" i="1" s="1"/>
  <c r="P27" i="1"/>
  <c r="Q27" i="1" s="1"/>
  <c r="L24" i="1"/>
  <c r="M24" i="1" s="1"/>
  <c r="N24" i="1" s="1"/>
  <c r="O24" i="1" s="1"/>
  <c r="P24" i="1" s="1"/>
  <c r="O22" i="1"/>
  <c r="N22" i="1"/>
  <c r="M22" i="1"/>
  <c r="L22" i="1"/>
  <c r="P22" i="1" s="1"/>
  <c r="Q14" i="1" s="1"/>
  <c r="P21" i="1"/>
  <c r="P20" i="1"/>
  <c r="P19" i="1"/>
  <c r="P18" i="1"/>
  <c r="P17" i="1"/>
  <c r="P16" i="1"/>
  <c r="P15" i="1"/>
  <c r="P14" i="1"/>
  <c r="P10" i="1"/>
  <c r="O8" i="1"/>
  <c r="N8" i="1"/>
  <c r="M8" i="1"/>
  <c r="L8" i="1"/>
  <c r="P7" i="1"/>
  <c r="P6" i="1"/>
  <c r="P2" i="1"/>
  <c r="P8" i="1" l="1"/>
  <c r="Q6" i="1" s="1"/>
  <c r="P125" i="1"/>
  <c r="Q123" i="1" s="1"/>
  <c r="P205" i="1"/>
  <c r="Q197" i="1" s="1"/>
  <c r="P133" i="1"/>
  <c r="Q131" i="1" s="1"/>
  <c r="P97" i="1"/>
  <c r="Q91" i="1" s="1"/>
  <c r="L164" i="1"/>
  <c r="P164" i="1"/>
  <c r="Q154" i="1" s="1"/>
  <c r="P105" i="1"/>
  <c r="P109" i="1" s="1"/>
  <c r="Q103" i="1" s="1"/>
  <c r="P171" i="1"/>
  <c r="P180" i="1" s="1"/>
  <c r="Q1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JUANA OSORIO</author>
    <author>MARAMA</author>
    <author>Maritza Amado Barrantes</author>
    <author/>
    <author>Luz Angela Rodriguez Chaparro</author>
    <author>Daniel Sanchez Rojas</author>
    <author>tc={FD3EDD5F-7470-4FFB-B9E0-833D624854B8}</author>
    <author>tc={D9F5DE58-9273-45C0-8029-AFE3397CC36A}</author>
  </authors>
  <commentList>
    <comment ref="P3" authorId="0" shapeId="0" xr:uid="{CF3EC87C-E47C-4749-80BC-61F0B7C9BFBA}">
      <text>
        <r>
          <rPr>
            <b/>
            <sz val="9"/>
            <color indexed="81"/>
            <rFont val="Tahoma"/>
            <family val="2"/>
          </rPr>
          <t>Estímulos: 435
Jurados: 295</t>
        </r>
      </text>
    </comment>
    <comment ref="P4" authorId="1" shapeId="0" xr:uid="{1ABD963C-C18B-4614-83DA-CBC4603D6EAC}">
      <text>
        <r>
          <rPr>
            <b/>
            <sz val="9"/>
            <color indexed="81"/>
            <rFont val="Tahoma"/>
            <family val="2"/>
          </rPr>
          <t>MARAMA:</t>
        </r>
        <r>
          <rPr>
            <sz val="9"/>
            <color indexed="81"/>
            <rFont val="Tahoma"/>
            <family val="2"/>
          </rPr>
          <t xml:space="preserve">
Estímulos 593
Jurados 406</t>
        </r>
      </text>
    </comment>
    <comment ref="H7" authorId="2" shapeId="0" xr:uid="{904E710B-7C7E-4A70-8868-70CA91B8EB66}">
      <text>
        <r>
          <rPr>
            <b/>
            <sz val="9"/>
            <color indexed="81"/>
            <rFont val="Tahoma"/>
            <family val="2"/>
          </rPr>
          <t>Maritza Amado Barrantes:</t>
        </r>
        <r>
          <rPr>
            <sz val="9"/>
            <color indexed="81"/>
            <rFont val="Tahoma"/>
            <family val="2"/>
          </rPr>
          <t xml:space="preserve">
66  Estímulo
26 Adonorem
</t>
        </r>
      </text>
    </comment>
    <comment ref="I7" authorId="2" shapeId="0" xr:uid="{2FBBBD7E-1CFB-418C-AA0A-8C32E28EB588}">
      <text>
        <r>
          <rPr>
            <b/>
            <sz val="9"/>
            <color indexed="81"/>
            <rFont val="Tahoma"/>
            <family val="2"/>
          </rPr>
          <t>Maritza Amado Barrantes:</t>
        </r>
        <r>
          <rPr>
            <sz val="9"/>
            <color indexed="81"/>
            <rFont val="Tahoma"/>
            <family val="2"/>
          </rPr>
          <t xml:space="preserve">
24  Estímulo
1 Adonorem
</t>
        </r>
      </text>
    </comment>
    <comment ref="J7" authorId="2" shapeId="0" xr:uid="{4C9FEB7F-30BF-4E70-BB02-A66BF03FE1AC}">
      <text>
        <r>
          <rPr>
            <b/>
            <sz val="9"/>
            <color indexed="81"/>
            <rFont val="Tahoma"/>
            <family val="2"/>
          </rPr>
          <t>Maritza Amado Barrantes:</t>
        </r>
        <r>
          <rPr>
            <sz val="9"/>
            <color indexed="81"/>
            <rFont val="Tahoma"/>
            <family val="2"/>
          </rPr>
          <t xml:space="preserve">
119  Estímulo
11 Adonorem
</t>
        </r>
      </text>
    </comment>
    <comment ref="K7" authorId="2" shapeId="0" xr:uid="{4C10CC32-3B11-4939-9612-BABDC78E39D5}">
      <text>
        <r>
          <rPr>
            <b/>
            <sz val="9"/>
            <color indexed="81"/>
            <rFont val="Tahoma"/>
            <family val="2"/>
          </rPr>
          <t>Maritza Amado Barrantes:</t>
        </r>
        <r>
          <rPr>
            <sz val="9"/>
            <color indexed="81"/>
            <rFont val="Tahoma"/>
            <family val="2"/>
          </rPr>
          <t xml:space="preserve">
56  Estímulo
</t>
        </r>
      </text>
    </comment>
    <comment ref="Q11" authorId="0" shapeId="0" xr:uid="{5C9BC520-8C8A-49A5-BCA8-79F1C5FE3DBC}">
      <text>
        <r>
          <rPr>
            <b/>
            <sz val="9"/>
            <color indexed="81"/>
            <rFont val="Tahoma"/>
            <family val="2"/>
          </rPr>
          <t xml:space="preserve">Detalle en: Z:\Vigencia 2017\INF. SEGUIMIENTO PROYECTOS DE INVERSIÓN 2017\INFORMES\INFORMES DE GESTIÓN  - CONSOLIDADO - CUANTITATIVO. Nombrado: Contratos Fomento </t>
        </r>
      </text>
    </comment>
    <comment ref="Q12" authorId="0" shapeId="0" xr:uid="{C9728C91-1271-45B8-BB0E-99C8B5EEE7EA}">
      <text>
        <r>
          <rPr>
            <b/>
            <sz val="9"/>
            <color indexed="81"/>
            <rFont val="Tahoma"/>
            <family val="2"/>
          </rPr>
          <t xml:space="preserve">Detalle en: Z:\Vigencia 2017\INF. SEGUIMIENTO PROYECTOS DE INVERSIÓN 2017\INFORMES\INFORMES DE GESTIÓN  - CONSOLIDADO - CUANTITATIVO. Nombrado: Contratos Fomento </t>
        </r>
      </text>
    </comment>
    <comment ref="B14" authorId="3" shapeId="0" xr:uid="{314B028B-6DA2-4349-8655-EDD5151FCFB7}">
      <text>
        <r>
          <rPr>
            <b/>
            <sz val="9"/>
            <color indexed="8"/>
            <rFont val="Tahoma"/>
            <family val="2"/>
          </rPr>
          <t>Cuadro OAP realizado a partir de datos Plan de Acción del Equipo de presupuesto OAP</t>
        </r>
      </text>
    </comment>
    <comment ref="I14" authorId="4" shapeId="0" xr:uid="{C8CA26E0-681A-4D32-93ED-AC0917729E3F}">
      <text>
        <r>
          <rPr>
            <sz val="9"/>
            <color indexed="81"/>
            <rFont val="Tahoma"/>
            <family val="2"/>
          </rPr>
          <t xml:space="preserve">1. FUNDACION TEATRO DE LA MEMORIA CENTRO DE INVESTIGACION
2. TEATRO R 101
3. CAMARA DE COMERCIO DE BOGOTA
Estos apoyos deben corresponder a alguna gerencia, no? Danza, Arte Dramático y Artes Audiovisuales o Música en el caso de la CCB
</t>
        </r>
      </text>
    </comment>
    <comment ref="L14" authorId="5" shapeId="0" xr:uid="{EDADAA18-8DD1-40CD-B54C-460B2F1567DE}">
      <text>
        <r>
          <rPr>
            <b/>
            <sz val="9"/>
            <color indexed="81"/>
            <rFont val="Tahoma"/>
            <family val="2"/>
          </rPr>
          <t xml:space="preserve">
1. FUNDACIÓN CULTURAL COLOMBIA NEGRA.
2. CHYMINIGAGUA “XXX FAICP FESTIVAL ARTISTICO INTERNACIONAL INVASION DE CULTURA POPULAR “ CARNAVAL DE LA ALEGRIA , 30 AÑOS DE SUEÑOS, REALIDADES Y TRANSFORMACION SOCIAL”.
3. FUNDACIÓN TEATRO DE LA MEMORIA</t>
        </r>
      </text>
    </comment>
    <comment ref="I15" authorId="4" shapeId="0" xr:uid="{99DC1C9B-A054-497D-BA0D-C2044166BFE0}">
      <text>
        <r>
          <rPr>
            <sz val="9"/>
            <color indexed="81"/>
            <rFont val="Tahoma"/>
            <family val="2"/>
          </rPr>
          <t>1. ASOCIACION CULTURAL CASA DEL SILENCIO MAISON DU SILENCE
2. ASOCIACION CULTURAL MURO DE ESPUMA
3, CORPORACIoN CHANGUA TEATRO
4. CORPORACION COLOMBIANA DE TEATRO CCT
5. FUNDACION DE TEATRO DITIRAMBO
6. FUNDACION DE TITERES Y TEATRO LA LIBELULA DORADA
7. FUNDACION LA NAVAJA DE OCKHAM LABORATORIO DE CREACION ESCENICA
8. FUNDACION PURPURA
9. CORPORACION CULTURAL TEATRO ESTUDIO ALCARAVAN
10. FUNDACION TEATRO LIBRE DE BOGOTA</t>
        </r>
      </text>
    </comment>
    <comment ref="L15" authorId="5" shapeId="0" xr:uid="{6F32322D-B61C-43A1-9B6F-EF24859A21E1}">
      <text>
        <r>
          <rPr>
            <b/>
            <sz val="9"/>
            <color indexed="81"/>
            <rFont val="Tahoma"/>
            <family val="2"/>
          </rPr>
          <t xml:space="preserve">1. TEATRO R101 PDAC
2. CORPORACION PRODUCCIONES LA VENTANA PDSC
3. FUNDACION CENTRO CULTURAL GABRIEL GARCIA MARQUEZ PDSC
4. CORPORACION DE TEATRO CULTURA ACTO LATINO PDSC
5. CORPORACION BARRACA PDSC
6. FUNDACION LA MALDITA VANIDAD TEATRO PDSC
7. CORPORACION CULTURAL TERCER ACTO PDSC
8. ASOCIACION CULTURAL ENSAMBLAJE TEATRO COMUNIDAD PDSC
9. ASOCIACION CULTURAL TEATRIDANZA PDSC
10. FUNDACION DE TEATRO DITIRAMBO PDSC
11. FUNDACION DE TEATRO DITIRAMBO PDSC
12. FUNDACION JAIME MANZUR PARA EL DESAROLLO DE LAS ARTES ESCENICAS PDSC
13. FUNDACION CULTURAL EL CONTRABAJO PDSC
14. FUNDACION L EXPLOSE PDSC
15. FUNDACIÓN TEATRO NACIONAL PDSC
16. FUNDACION TEATRO NACIONAL PDSC
17. CLUB DE TEATRO EXPERIMENTAL CAFE LA MAMA PDSC
18. CORPORACIÓN DE TEATRO PRODUCCIONES EL MIMO PDSC
19. FUNDACION TEATRO ESTUDIO CALARCA TECAL PDSC
20. ASOCIACION CULTURAL TEATROVA PDSC
21. FUNDACION ERNESTO ARONNA
22. ASOCIACION CULTURAL HILOS MAGICOS PDSC
23. FUNDACION DE TITERES Y TEATRO LA LIBELULA DORADA PDSC
24. FUNDACION TEATRO LIBRE DE BOGOTA PDSC
25. FUNDACION TEATRO LIBRE DE BOGOTA PDSC
26. FUNDACION TEATRO NACIONAL PDSC
27. CORPORACION CULTURAL TEATRO ESTUDIO ALCARAVAN PDSC
28. TEATRO R 101 PDSC
29. CORPORACION PARA EL DESARROLLO Y DIFUSION DEL ARTE Y LA CULTURA POPULAR PDSC
30. CORPORACION COLOMBIANA DE TEATRO CCT PDSC
31. TEATRO LA CANDELARIA PDSC
32. FUNDACION CULTURAL TEATRO EXPERIMENTAL FONTIBON PDSC
33. FUNDACION TEATRO TALLER DE COLOMBIA PDSC
34. CIRCULO COLOMBIANO DE ARTISTAS PDSC
35. ASOCIACION CULTURAL MURO DE ESPUMA PDAC.
36. CORPORACION CHANGUA TEATRO PDAC.
37. FUNDACION LA NAVAJA DE OCKHAM LABORATORIO DE CREACION ESCENICA PDAC.
38. FUNDACION DE TEATRO DITIRAMBO PDAC.
39. ASOCIACION CULTURAL CASA DEL SILENCIO MAISON DU SILENCE PDAC.
40. ASOCIACION CULTURAL MI COMPAÑIA TEATRO PDAC.
41. FUNDACION PURPURA PDAC.
42. FUNDACION DE TITERES Y TEATRO LA LIBELULA DORADA PDAC.
43. CORPORACION COLOMBIANA DE TEATRO CCT PDAC.
</t>
        </r>
      </text>
    </comment>
    <comment ref="I16" authorId="4" shapeId="0" xr:uid="{AFAC0861-9FA9-42A1-BA34-43388B285BE6}">
      <text>
        <r>
          <rPr>
            <sz val="9"/>
            <color indexed="81"/>
            <rFont val="Tahoma"/>
            <family val="2"/>
          </rPr>
          <t>1. CORPORACION A T S ACCION TECNICA SOCIAL
2. CORPORACION COLOMBIANA DE DOCUMENTALISTAS ALADOS COLOMBIA
3.CORPORACIÓN IN VITRO VISUAL
4. FUNDACION AMBULANTE COLOMBIA
5. SUEÑOS FILMS COLOMBIA
6. FONDO MIXTO DE PROMOCION CINEMATOGRAFICA PROIMAGENES EN MOVIMIENTO</t>
        </r>
      </text>
    </comment>
    <comment ref="L16" authorId="5" shapeId="0" xr:uid="{F07515BE-7FA0-47C4-B16C-130219D50F1F}">
      <text>
        <r>
          <rPr>
            <b/>
            <sz val="9"/>
            <color indexed="81"/>
            <rFont val="Tahoma"/>
            <family val="2"/>
          </rPr>
          <t xml:space="preserve">1. SUEÑOS FILMS COLOMBIA.
2. PROIMAGENES COLOMBIA "BOGOTÁ AUDIOVISUAL MARKET - BAM 2019"
3. CORPORACIÓN IN VITRO VISUAL
4. CORPORACION COLOMBIANA DE DOCUMENTALISTAS ALADOS COLOMBIA.
5. FUNDACION AMBULANTE COLOMBIA.
6. CORPORACION A T S ACCION TECNICA SOCIAL
</t>
        </r>
      </text>
    </comment>
    <comment ref="F17" authorId="4" shapeId="0" xr:uid="{1167E28E-2C1C-4E2D-AF2A-9CB2F54249FC}">
      <text>
        <r>
          <rPr>
            <sz val="9"/>
            <color indexed="81"/>
            <rFont val="Tahoma"/>
            <family val="2"/>
          </rPr>
          <t>MAMBO</t>
        </r>
      </text>
    </comment>
    <comment ref="I17" authorId="4" shapeId="0" xr:uid="{5F8A5C02-51F5-4294-A73B-5E3BD6E76BEC}">
      <text>
        <r>
          <rPr>
            <sz val="9"/>
            <color indexed="81"/>
            <rFont val="Tahoma"/>
            <family val="2"/>
          </rPr>
          <t>1. FLORA ARS NATURA
2. FUNDACION ARTNEXUS PARA LA PROMOCION Y DIVULGACION DEL ARTE
3. FUNDACION TEATRO ODEON
4. MUSEO DE ARTE MODERNO DE BOGOTA - MAMBO</t>
        </r>
      </text>
    </comment>
    <comment ref="L17" authorId="5" shapeId="0" xr:uid="{ED0E020E-5BBE-4225-BE07-2A90397AE832}">
      <text>
        <r>
          <rPr>
            <b/>
            <sz val="9"/>
            <color indexed="81"/>
            <rFont val="Tahoma"/>
            <family val="2"/>
          </rPr>
          <t>1. FUNDACION ARTNEXUS PARA LA PROMOCION Y DIVULGACION DEL ARTE.
2. FLORA ARS NATURA.
3. FUNDACION TEATRO ODEON.
4. CAMARA COMERCIO DE BOGOTÁ "ARTBO".
5. MUSEO DE ARTE MODERNO DE BOGOTÁ</t>
        </r>
        <r>
          <rPr>
            <sz val="9"/>
            <color indexed="81"/>
            <rFont val="Tahoma"/>
            <family val="2"/>
          </rPr>
          <t xml:space="preserve">.
</t>
        </r>
      </text>
    </comment>
    <comment ref="I18" authorId="4" shapeId="0" xr:uid="{D301A6D1-D05A-494C-B014-ADE89E592DE1}">
      <text>
        <r>
          <rPr>
            <sz val="9"/>
            <color indexed="81"/>
            <rFont val="Tahoma"/>
            <family val="2"/>
          </rPr>
          <t>1. FUNDACION COMPAÑIA COLOMBIANA DE DANZA
2. FUNDACION CULTURAL CAYENA
3, FUNDACION CULTURAL Y ARTISTICA CREAR
4. FUNDACION INTEGRANDO FRONTERAS
5. FUNDACION L EXPLOSE
6. FUNDACION LA ESPIRAL
7. RED DE ARTES VIVAS</t>
        </r>
      </text>
    </comment>
    <comment ref="L18" authorId="5" shapeId="0" xr:uid="{ED32B2E4-15BD-44C9-A6BF-C0481876A31B}">
      <text>
        <r>
          <rPr>
            <b/>
            <sz val="9"/>
            <color indexed="81"/>
            <rFont val="Tahoma"/>
            <family val="2"/>
          </rPr>
          <t xml:space="preserve">1. FUNDACION CULTURAL Y ARTISTICA CREAR.
2. FUNDACION LA ESPIRAL.
3. FUNDACION INTEGRANDO FRONTERAS.
4. RED DE ARTES VIVAS.
5. FUNDACION COMPAÑIA COLOMBIANA DE DANZA.
6. FUNDACION L EXPLOSE.
7. FUNDACION INTEGRANDO FRONTERAS.
8. CORPORACION CULTURAL DE DANZA Y TEATRO SUEÑO MESTIZO.
9. FUNDACION CULTURAL CAYENA
</t>
        </r>
      </text>
    </comment>
    <comment ref="F19" authorId="4" shapeId="0" xr:uid="{548BF7AD-BFD1-42CB-B98F-C8047BBA672C}">
      <text>
        <r>
          <rPr>
            <sz val="9"/>
            <color indexed="81"/>
            <rFont val="Tahoma"/>
            <family val="2"/>
          </rPr>
          <t>Cámara Colombiana del Libro</t>
        </r>
      </text>
    </comment>
    <comment ref="I19" authorId="4" shapeId="0" xr:uid="{6B0013CE-A068-4135-ADB5-F3A1FEA8288C}">
      <text>
        <r>
          <rPr>
            <sz val="9"/>
            <color indexed="81"/>
            <rFont val="Tahoma"/>
            <family val="2"/>
          </rPr>
          <t xml:space="preserve">1. ASOCIACION NACIONAL DE SALAS CONCERTADAS DE TEATRO DE BOGOTA
2. CAMARA COLOMBIANA DEL LIBRO
</t>
        </r>
      </text>
    </comment>
    <comment ref="L19" authorId="5" shapeId="0" xr:uid="{8631756C-AE52-45D0-BD12-5065D909F032}">
      <text>
        <r>
          <rPr>
            <b/>
            <sz val="9"/>
            <color indexed="81"/>
            <rFont val="Tahoma"/>
            <family val="2"/>
          </rPr>
          <t xml:space="preserve">
1. CAMARA COLOMBIANA DEL LIBRO FERIA DEL LIBRO.
2.  ASOCIACION NACIONAL DE SALAS CONCERTADAS DE TEATRO DE BOGOTA
</t>
        </r>
      </text>
    </comment>
    <comment ref="I20" authorId="4" shapeId="0" xr:uid="{5E24A4D1-FF31-49CB-8137-D4EE15EBF1A9}">
      <text>
        <r>
          <rPr>
            <sz val="9"/>
            <color indexed="81"/>
            <rFont val="Tahoma"/>
            <family val="2"/>
          </rPr>
          <t>1. ASOCIACIÓN CULTURAL VUELO
2. CORPORACION LLANO Y JOROPO HILDO ARIEL AGUIRRE DAZA
3. FUNDACION ARTEFICIAL
4, FUNDACION SOCIAL SEMBRANDO CAMINO</t>
        </r>
      </text>
    </comment>
    <comment ref="L20" authorId="5" shapeId="0" xr:uid="{A080CB18-D52F-4094-8C5E-C0006AE2661E}">
      <text>
        <r>
          <rPr>
            <b/>
            <sz val="9"/>
            <color indexed="81"/>
            <rFont val="Tahoma"/>
            <family val="2"/>
          </rPr>
          <t xml:space="preserve">1. FUNDACION ARTEFICIAL.
2. CAMARA DE COMERCIO DE BOGOTA "BOOM"
3. ASOCIACIÓN CULTURAL VUELO.
4. FUNDACION SOCIAL SEMBRANDO CAMINO.
5. FUNDACION SOCIAL SEMBRANDO CAMINO.
6. CORPORACION LLANO Y JOROPO.
</t>
        </r>
      </text>
    </comment>
    <comment ref="D23" authorId="3" shapeId="0" xr:uid="{5737D1CA-4B6A-40D1-B839-C050ABF9DE9F}">
      <text>
        <r>
          <rPr>
            <b/>
            <sz val="9"/>
            <color indexed="8"/>
            <rFont val="Tahoma"/>
            <family val="2"/>
          </rPr>
          <t xml:space="preserve">se puede manejar el % de ejecución presupuestal y listar las actividades que se realizan con esos recursos </t>
        </r>
      </text>
    </comment>
    <comment ref="B27" authorId="3" shapeId="0" xr:uid="{16DEA5C9-0F92-4773-A817-87E147D13FF3}">
      <text>
        <r>
          <rPr>
            <b/>
            <sz val="9"/>
            <color indexed="8"/>
            <rFont val="Tahoma"/>
            <family val="2"/>
          </rPr>
          <t xml:space="preserve">SE DEBEN REPORTAR LAS FUNCIONES REALIZADAS EN EL MARCO DEL PSC </t>
        </r>
      </text>
    </comment>
    <comment ref="P33" authorId="1" shapeId="0" xr:uid="{48D68150-0237-418D-ABB4-BF45755C8349}">
      <text>
        <r>
          <rPr>
            <b/>
            <sz val="9"/>
            <color indexed="81"/>
            <rFont val="Tahoma"/>
            <family val="2"/>
          </rPr>
          <t>MARAMA:</t>
        </r>
        <r>
          <rPr>
            <sz val="9"/>
            <color indexed="81"/>
            <rFont val="Tahoma"/>
            <family val="2"/>
          </rPr>
          <t xml:space="preserve">
90% Cinemateca
93% Galería Santafé
</t>
        </r>
      </text>
    </comment>
    <comment ref="I34" authorId="4" shapeId="0" xr:uid="{694E5FEB-AFEA-4C95-B742-5D1F20D71B96}">
      <text>
        <r>
          <rPr>
            <b/>
            <sz val="9"/>
            <color indexed="81"/>
            <rFont val="Tahoma"/>
            <family val="2"/>
          </rPr>
          <t>Luz Angela Rodriguez Chaparro:</t>
        </r>
        <r>
          <rPr>
            <sz val="9"/>
            <color indexed="81"/>
            <rFont val="Tahoma"/>
            <family val="2"/>
          </rPr>
          <t xml:space="preserve">
En el reporte SEGPLAN queda con el 14% Debido al ajuste de los reportes de los años anteriores de la Galería Santa Fé, se realizó la respectiva revisión y se evidenció un desajuste del 4%, esto se puede sustentar a que se realizó la inclusión de la fase de adecuación, lo cual generó un cambio en los % y se evidenció la diferencia del 4%, por esta razón y para evitar diferencias al finalizar la vigencia. se tomó la decisión de sumar el 0,04 al reporte de este semestre ya que a este corte (30 Junio) se encuentra inagurada la Galería Santa Fé y finalizando las fases de adecuación y dotación. Dicho ajuste está en conocimiento del Jefe de la OAP y los profesionales que han trabajado el tema de proyectos</t>
        </r>
      </text>
    </comment>
    <comment ref="C35" authorId="3" shapeId="0" xr:uid="{44F27F9D-4EB0-49DA-8A12-28272543854F}">
      <text>
        <r>
          <rPr>
            <b/>
            <sz val="9"/>
            <color indexed="8"/>
            <rFont val="Tahoma"/>
            <family val="2"/>
            <charset val="1"/>
          </rPr>
          <t xml:space="preserve">Prog. 2016=9,8%*0,8=7,8%
Programado: 40% *0,8=32%
</t>
        </r>
      </text>
    </comment>
    <comment ref="D35" authorId="4" shapeId="0" xr:uid="{201CE3A1-5098-4582-99A5-F9F4560010D1}">
      <text>
        <r>
          <rPr>
            <sz val="9"/>
            <color indexed="81"/>
            <rFont val="Tahoma"/>
            <family val="2"/>
          </rPr>
          <t xml:space="preserve">El reporte de avance para el mes de enero corresponde a 89%, sin embargo se continúa reportando 90% debido a que fue este valor el que se reportó para el cierre de la vigencia 2018 y que esta meta es incremental. 
</t>
        </r>
      </text>
    </comment>
    <comment ref="Q35" authorId="4" shapeId="0" xr:uid="{B115ABC5-A963-408B-910C-18AEEC9B4604}">
      <text>
        <r>
          <rPr>
            <b/>
            <sz val="9"/>
            <color indexed="81"/>
            <rFont val="Tahoma"/>
            <family val="2"/>
          </rPr>
          <t>Luz Angela Rodriguez Chaparro:</t>
        </r>
        <r>
          <rPr>
            <sz val="9"/>
            <color indexed="81"/>
            <rFont val="Tahoma"/>
            <family val="2"/>
          </rPr>
          <t xml:space="preserve">
En el reporte SEGPLAN queda con el 14% Debido al ajuste de los reportes de los años anteriores de la Galería Santa Fé, se realizó la respectiva revisión y se evidenció un desajuste del 4%, esto se puede sustentar a que se realizó la inclusión de la fase de adecuación, lo cual generó un cambio en los % y se evidenció la diferencia del 4%, por esta razón y para evitar diferencias al finalizar la vigencia. se tomó la decisión de sumar el 0,04 al reporte de este semestre ya que a este corte (30 Junio) se encuentra inagurada la Galería Santa Fé y finalizando las fases de adecuación y dotación. Dicho ajuste está en conocimiento del Jefe de la OAP y los profesionales que han trabajado el tema de proyectos</t>
        </r>
      </text>
    </comment>
    <comment ref="C36" authorId="3" shapeId="0" xr:uid="{7D68F49E-9C1C-4593-9B70-5722365F990A}">
      <text>
        <r>
          <rPr>
            <b/>
            <sz val="9"/>
            <color indexed="8"/>
            <rFont val="Tahoma"/>
            <family val="2"/>
            <charset val="1"/>
          </rPr>
          <t xml:space="preserve">Prog. 2016: 62,5%*0,8=50% 1ra etapa
Programado: 1ra etapa: 100%*0,75=75%
</t>
        </r>
      </text>
    </comment>
    <comment ref="G36" authorId="4" shapeId="0" xr:uid="{C4329054-D6BA-40BA-AA49-4B65F9EA5F32}">
      <text>
        <r>
          <rPr>
            <sz val="9"/>
            <color indexed="81"/>
            <rFont val="Tahoma"/>
            <family val="2"/>
          </rPr>
          <t xml:space="preserve">No se reportaron avances para el mes de abril, por tanto, se reporta el mismo valor del mes de marzo. Soporte informe </t>
        </r>
      </text>
    </comment>
    <comment ref="C39" authorId="3" shapeId="0" xr:uid="{FB930B70-0BDE-4943-9200-50CC9E2D0CD9}">
      <text>
        <r>
          <rPr>
            <b/>
            <sz val="9"/>
            <color indexed="8"/>
            <rFont val="Tahoma"/>
            <family val="2"/>
          </rPr>
          <t>1. TJEG
2. Teatro al aire libre la Media Torta 
3. Casona de la Danza
4. Cinemateca Distrital 
5. Planetario de Bogotá
6. Teatro El Parque
7. Sede Adtiva Cra. 8 con calle 15
8. Escenario móvil
9. Bloque pedagógico
10. Teatro San Jorge
Otras 
1. Galería Santa fe
2. Nueva Cinemateca de Bogotá</t>
        </r>
      </text>
    </comment>
    <comment ref="I39" authorId="4" shapeId="0" xr:uid="{F91730F2-65DB-4DFD-86B7-8B1B8481F7EF}">
      <text>
        <r>
          <rPr>
            <sz val="9"/>
            <color indexed="81"/>
            <rFont val="Tahoma"/>
            <family val="2"/>
          </rPr>
          <t>Se cuenta Sede Administrativa, TJEG y  Teatro San Jorge.
Criterio: Número de acciones y Recursos ejecutados</t>
        </r>
      </text>
    </comment>
    <comment ref="Q39" authorId="4" shapeId="0" xr:uid="{EAA01D7A-D0E9-4DFE-9C78-16A5F4DE5823}">
      <text>
        <r>
          <rPr>
            <b/>
            <sz val="9"/>
            <color indexed="81"/>
            <rFont val="Tahoma"/>
            <family val="2"/>
          </rPr>
          <t xml:space="preserve">Justificación: </t>
        </r>
        <r>
          <rPr>
            <sz val="9"/>
            <color indexed="81"/>
            <rFont val="Tahoma"/>
            <family val="2"/>
          </rPr>
          <t>Para el primer semestre se adelantaron labores de adecuación y mantenimiento en las siguientes sedes que se encuentran a cargo del Idartes: Sede Administrativa,  Bloque Pedagógico, Planetario de Bogotá,  Nueva Cinemateca,  Teatro al Aire libre la Media Torta, Teatro Jorge Eliécer Gaitán, Cinemateca Distrital, Casona de la Danza, Casa de la Jurisprudencia , Teatro al Parque y  Teatro san Jorge</t>
        </r>
      </text>
    </comment>
    <comment ref="F45" authorId="5" shapeId="0" xr:uid="{8812F7A0-DFFD-45AB-B304-7450DB97CB78}">
      <text>
        <r>
          <rPr>
            <b/>
            <sz val="9"/>
            <color indexed="81"/>
            <rFont val="Tahoma"/>
            <family val="2"/>
          </rPr>
          <t>Daniel Sanchez Rojas:</t>
        </r>
        <r>
          <rPr>
            <sz val="9"/>
            <color indexed="81"/>
            <rFont val="Tahoma"/>
            <family val="2"/>
          </rPr>
          <t xml:space="preserve">
1. Presencial.
2. Escrito.
3. Email.
4. Buzón de sugerencias.
5. Teléfono.
6. Chat </t>
        </r>
      </text>
    </comment>
    <comment ref="D51" authorId="5" shapeId="0" xr:uid="{1CFAADBC-4E7D-4046-A14D-22ADC276E279}">
      <text>
        <r>
          <rPr>
            <b/>
            <sz val="9"/>
            <color indexed="81"/>
            <rFont val="Tahoma"/>
            <family val="2"/>
          </rPr>
          <t>Daniel Sanchez Rojas:</t>
        </r>
        <r>
          <rPr>
            <sz val="9"/>
            <color indexed="81"/>
            <rFont val="Tahoma"/>
            <family val="2"/>
          </rPr>
          <t xml:space="preserve">
Facebook: 1.083.180
Twitter: 408.597
Instagram: 136.774
Youtube: 6.285</t>
        </r>
      </text>
    </comment>
    <comment ref="E51" authorId="5" shapeId="0" xr:uid="{6ADB95A8-9F03-450F-AF18-967AE6E6E3F4}">
      <text>
        <r>
          <rPr>
            <b/>
            <sz val="9"/>
            <color indexed="81"/>
            <rFont val="Tahoma"/>
            <family val="2"/>
          </rPr>
          <t>Daniel Sanchez Rojas:</t>
        </r>
        <r>
          <rPr>
            <sz val="9"/>
            <color indexed="81"/>
            <rFont val="Tahoma"/>
            <family val="2"/>
          </rPr>
          <t xml:space="preserve">
Facebook: 1.085.782
Twitter: 411.709
Instagram: 141.393
Youtube: 6.379</t>
        </r>
      </text>
    </comment>
    <comment ref="F51" authorId="5" shapeId="0" xr:uid="{BAFF6CD4-2E08-4EBB-AF87-F1FE4F6F5FCC}">
      <text>
        <r>
          <rPr>
            <b/>
            <sz val="9"/>
            <color indexed="81"/>
            <rFont val="Tahoma"/>
            <family val="2"/>
          </rPr>
          <t>Daniel Sanchez Rojas:</t>
        </r>
        <r>
          <rPr>
            <sz val="9"/>
            <color indexed="81"/>
            <rFont val="Tahoma"/>
            <family val="2"/>
          </rPr>
          <t xml:space="preserve">
Facebook: 1.089.471.
Twitter: 414.192
Instagram:145.922
Youtube: 6.401</t>
        </r>
      </text>
    </comment>
    <comment ref="G51" authorId="5" shapeId="0" xr:uid="{0FC7969F-B4B9-4F1A-A9C2-CE20786C69E1}">
      <text>
        <r>
          <rPr>
            <b/>
            <sz val="9"/>
            <color indexed="81"/>
            <rFont val="Tahoma"/>
            <family val="2"/>
          </rPr>
          <t xml:space="preserve">Daniel Sanchez Rojas:
</t>
        </r>
        <r>
          <rPr>
            <sz val="9"/>
            <color indexed="81"/>
            <rFont val="Tahoma"/>
            <family val="2"/>
          </rPr>
          <t xml:space="preserve">
Facebook: 1.101.063
Twitter: 420.280
Instagram: 154.805
Youtube: 6.436</t>
        </r>
      </text>
    </comment>
    <comment ref="H51" authorId="5" shapeId="0" xr:uid="{0B1BA5B0-7DC1-400A-9D67-EF886D024580}">
      <text>
        <r>
          <rPr>
            <b/>
            <sz val="9"/>
            <color indexed="81"/>
            <rFont val="Tahoma"/>
            <family val="2"/>
          </rPr>
          <t>Daniel Sanchez Rojas:</t>
        </r>
        <r>
          <rPr>
            <sz val="9"/>
            <color indexed="81"/>
            <rFont val="Tahoma"/>
            <family val="2"/>
          </rPr>
          <t xml:space="preserve">
Facebook: 1.106.619
Twitter: 422.436
Instagram: 165.616
Youtbe: 6.641</t>
        </r>
      </text>
    </comment>
    <comment ref="I51" authorId="5" shapeId="0" xr:uid="{95D0B2D4-33B6-49F4-983A-D29323DA7C90}">
      <text>
        <r>
          <rPr>
            <b/>
            <sz val="9"/>
            <color indexed="81"/>
            <rFont val="Tahoma"/>
            <family val="2"/>
          </rPr>
          <t>Daniel Sanchez Rojas:</t>
        </r>
        <r>
          <rPr>
            <sz val="9"/>
            <color indexed="81"/>
            <rFont val="Tahoma"/>
            <family val="2"/>
          </rPr>
          <t xml:space="preserve">
Facebook 1.120.748
Twitter: 428.204
Instagram: 200.363
Youtube: 6.928</t>
        </r>
      </text>
    </comment>
    <comment ref="J51" authorId="5" shapeId="0" xr:uid="{759B72A5-9E31-4B8D-BC13-7C4E75983CAE}">
      <text>
        <r>
          <rPr>
            <b/>
            <sz val="9"/>
            <color indexed="81"/>
            <rFont val="Tahoma"/>
            <family val="2"/>
          </rPr>
          <t>Daniel Sanchez Rojas:</t>
        </r>
        <r>
          <rPr>
            <sz val="9"/>
            <color indexed="81"/>
            <rFont val="Tahoma"/>
            <family val="2"/>
          </rPr>
          <t xml:space="preserve">
Facebook: 1.143.173
Twitter: 430.753.
Instagram: 217.143.
Youtube: 6.986</t>
        </r>
      </text>
    </comment>
    <comment ref="K51" authorId="5" shapeId="0" xr:uid="{30351C05-2721-4AA3-AD68-605FD16FFE88}">
      <text>
        <r>
          <rPr>
            <b/>
            <sz val="9"/>
            <color indexed="81"/>
            <rFont val="Tahoma"/>
            <family val="2"/>
          </rPr>
          <t>Daniel Sanchez Rojas:</t>
        </r>
        <r>
          <rPr>
            <sz val="9"/>
            <color indexed="81"/>
            <rFont val="Tahoma"/>
            <family val="2"/>
          </rPr>
          <t xml:space="preserve">
Facebook: 1.151.001.
Twitter: 432.528.
Instagram: 229.729.
Youtube: 7.127</t>
        </r>
      </text>
    </comment>
    <comment ref="F65" authorId="5" shapeId="0" xr:uid="{11C722DB-9A69-47A6-93FB-454BABFD71B2}">
      <text>
        <r>
          <rPr>
            <b/>
            <sz val="9"/>
            <color indexed="81"/>
            <rFont val="Tahoma"/>
            <family val="2"/>
          </rPr>
          <t xml:space="preserve">Daniel Sanchez Rojas:
</t>
        </r>
        <r>
          <rPr>
            <sz val="9"/>
            <color indexed="81"/>
            <rFont val="Tahoma"/>
            <family val="2"/>
          </rPr>
          <t xml:space="preserve">
1. Foro de participación en Mercados de las Industrias Culturales y Creativas.
2. Cursos Virtuales de Portafolios Artpisticos 
</t>
        </r>
      </text>
    </comment>
    <comment ref="I65" authorId="5" shapeId="0" xr:uid="{FBF5AC20-17A4-45D6-843D-4A7C1FE174FF}">
      <text>
        <r>
          <rPr>
            <b/>
            <sz val="9"/>
            <color indexed="81"/>
            <rFont val="Tahoma"/>
            <family val="2"/>
          </rPr>
          <t>Daniel Sanchez Rojas:</t>
        </r>
        <r>
          <rPr>
            <sz val="9"/>
            <color indexed="81"/>
            <rFont val="Tahoma"/>
            <family val="2"/>
          </rPr>
          <t xml:space="preserve">
1. 1. Foro de Participación en Mercados de las Industrias Culturales y Creativas .
2.Cursos PRESENCIALES en localidades “Arte, Cultura y Acción”.
3. Filbo emprende 2019.
4. Foro DC en Vivo 2019.
5. Beca de fortalecimiento a empresas de las industrias culturales y creativas.
</t>
        </r>
      </text>
    </comment>
    <comment ref="L65" authorId="5" shapeId="0" xr:uid="{51B2D647-0EDA-4996-93FE-5A0FFB507E2C}">
      <text>
        <r>
          <rPr>
            <b/>
            <sz val="9"/>
            <color indexed="81"/>
            <rFont val="Tahoma"/>
            <family val="2"/>
          </rPr>
          <t>Daniel Sanchez Rojas:</t>
        </r>
        <r>
          <rPr>
            <sz val="9"/>
            <color indexed="81"/>
            <rFont val="Tahoma"/>
            <family val="2"/>
          </rPr>
          <t xml:space="preserve">
1. Foro de Participación en Mercados de las Industrias Culturales y Creativas.
2. Cursos PRESENCIALES en localidades “Arte, Cultura y Acción” .
3. Filbo emprende 2019 
4. Foro DC en Vivo 2019
5. Beca de fortalecimiento a empresas de las industrias culturales y creativas 
6. La Incubadora de Industrias Culturales y Creativas 2019 
7. Cursos VIRTUALES Arte, cultura y acción .
8. Proceso de Fortalecimiento “Arte, Cultura y Acción” 
9. Cursos virtuales de portafolios artísticos 
10. Cursos de Derechos de Autor 
11. Taller Artes Escénicas Emprende - Taller intensivo de movilidad para las artes escénicas </t>
        </r>
      </text>
    </comment>
    <comment ref="F70" authorId="5" shapeId="0" xr:uid="{E59CF240-87FA-4858-B772-01021F8DE70E}">
      <text>
        <r>
          <rPr>
            <b/>
            <sz val="9"/>
            <color indexed="81"/>
            <rFont val="Tahoma"/>
            <family val="2"/>
          </rPr>
          <t>Daniel Sanchez Rojas:</t>
        </r>
        <r>
          <rPr>
            <sz val="9"/>
            <color indexed="81"/>
            <rFont val="Tahoma"/>
            <family val="2"/>
          </rPr>
          <t xml:space="preserve">
Acciones en desarrollo:
1. Participación en rueda de negocios de la Embajada de Canadá .
2.Participación en FICCI 2019 – Festival Internacional de Cine de Cartagena.
3.Directorio de Industrias Culturales y Creativas
acciones en etapa de planeación:
4.Beca de participación en mercados de las industrias culturales y creativas.
5. Plataforma de Portafolios artísticos .
6. Emprendedores con el Arte al Parque.
7. Rueda de Negocios DC en Vivo 2019 .
8. BOmm - Bogotá Music Market </t>
        </r>
      </text>
    </comment>
    <comment ref="I70" authorId="5" shapeId="0" xr:uid="{FFF1A68F-235B-4283-9139-22CAC96A704F}">
      <text>
        <r>
          <rPr>
            <b/>
            <sz val="9"/>
            <color indexed="81"/>
            <rFont val="Tahoma"/>
            <family val="2"/>
          </rPr>
          <t>Daniel Sanchez Rojas:</t>
        </r>
        <r>
          <rPr>
            <sz val="9"/>
            <color indexed="81"/>
            <rFont val="Tahoma"/>
            <family val="2"/>
          </rPr>
          <t xml:space="preserve">
1. Participación en rueda de negocios de la Embajada de Canadá en Colombia. 
2. Participación en FICCI 2019 – Festival Internacional de Cine de Cartagena.
3. Directorio de Industrias Culturales y Creativas.
4. Rueda de Negocios DC en Vivo 2019.
5. BOmm - Bogotá Music Market 
</t>
        </r>
      </text>
    </comment>
    <comment ref="L70" authorId="5" shapeId="0" xr:uid="{9D750793-8E02-47E0-8314-082278926747}">
      <text>
        <r>
          <rPr>
            <b/>
            <sz val="9"/>
            <color indexed="81"/>
            <rFont val="Tahoma"/>
            <family val="2"/>
          </rPr>
          <t>Daniel Sanchez Rojas:</t>
        </r>
        <r>
          <rPr>
            <sz val="9"/>
            <color indexed="81"/>
            <rFont val="Tahoma"/>
            <family val="2"/>
          </rPr>
          <t xml:space="preserve">
1. Participación en rueda de negocios y eventos de las industrias culturales y creativas organizados por embajadas y entidades internacionales en Bogotá  
2. Participación en FICCI 2019 – Festival Internacional de Cine de Cartagena 
3. Directorio de Industrias Culturales y Creativas 
4. Rueda de Negocios DC en Vivo 2019 
5. BOmm - Bogotá Music Market 
6. Emprendedores con el Arte al Parque 
7. Beca de participación en mercados de las industrias culturales y creativas .
8. Plataforma de Portafolios artísticos .
9. Mapas- Mercado de Artes Performáticas del Atlántico Sur 
</t>
        </r>
      </text>
    </comment>
    <comment ref="F74" authorId="5" shapeId="0" xr:uid="{2F685A91-2061-4722-82F2-74180D49D772}">
      <text>
        <r>
          <rPr>
            <b/>
            <sz val="9"/>
            <color indexed="81"/>
            <rFont val="Tahoma"/>
            <family val="2"/>
          </rPr>
          <t>Daniel Sanchez Rojas:</t>
        </r>
        <r>
          <rPr>
            <sz val="9"/>
            <color indexed="81"/>
            <rFont val="Tahoma"/>
            <family val="2"/>
          </rPr>
          <t xml:space="preserve">
en etapa de planeación.
1. Bronx Distrito Creativo.
2. Programa DC en Vivo </t>
        </r>
      </text>
    </comment>
    <comment ref="I74" authorId="5" shapeId="0" xr:uid="{6FBCCF44-F143-4544-A2FF-24EC36F3A33D}">
      <text>
        <r>
          <rPr>
            <b/>
            <sz val="9"/>
            <color indexed="81"/>
            <rFont val="Tahoma"/>
            <family val="2"/>
          </rPr>
          <t>Daniel Sanchez Rojas:</t>
        </r>
        <r>
          <rPr>
            <sz val="9"/>
            <color indexed="81"/>
            <rFont val="Tahoma"/>
            <family val="2"/>
          </rPr>
          <t xml:space="preserve">
en etapa de planeación.
1. Bronx Distrito Creativo.
2. Programa DC en Vivo </t>
        </r>
      </text>
    </comment>
    <comment ref="L74" authorId="5" shapeId="0" xr:uid="{D0D15AC3-FA24-49F6-A776-9ACACE86B5BB}">
      <text>
        <r>
          <rPr>
            <b/>
            <sz val="9"/>
            <color indexed="81"/>
            <rFont val="Tahoma"/>
            <family val="2"/>
          </rPr>
          <t>Daniel Sanchez Rojas:</t>
        </r>
        <r>
          <rPr>
            <sz val="9"/>
            <color indexed="81"/>
            <rFont val="Tahoma"/>
            <family val="2"/>
          </rPr>
          <t xml:space="preserve">
1. Censo de Música en vivo para Programa D.C en Vivo </t>
        </r>
      </text>
    </comment>
    <comment ref="I78" authorId="5" shapeId="0" xr:uid="{65E8D7E3-EC70-423E-9192-9F3EC1CFC045}">
      <text>
        <r>
          <rPr>
            <b/>
            <sz val="9"/>
            <color indexed="81"/>
            <rFont val="Tahoma"/>
            <family val="2"/>
          </rPr>
          <t>Daniel Sanchez Rojas:</t>
        </r>
        <r>
          <rPr>
            <sz val="9"/>
            <color indexed="81"/>
            <rFont val="Tahoma"/>
            <family val="2"/>
          </rPr>
          <t xml:space="preserve">
1. Cluster de Editoriales Independientes </t>
        </r>
      </text>
    </comment>
    <comment ref="L78" authorId="5" shapeId="0" xr:uid="{653382B0-55C0-4130-B153-621DF5F4D098}">
      <text>
        <r>
          <rPr>
            <b/>
            <sz val="9"/>
            <color indexed="81"/>
            <rFont val="Tahoma"/>
            <family val="2"/>
          </rPr>
          <t>Daniel Sanchez Rojas:</t>
        </r>
        <r>
          <rPr>
            <sz val="9"/>
            <color indexed="81"/>
            <rFont val="Tahoma"/>
            <family val="2"/>
          </rPr>
          <t xml:space="preserve">
1. Cluster de Editoriales Independientes </t>
        </r>
      </text>
    </comment>
    <comment ref="B82" authorId="4" shapeId="0" xr:uid="{C8E5AA7D-E55E-4DC0-A652-B5DBBB395F0B}">
      <text>
        <r>
          <rPr>
            <b/>
            <sz val="9"/>
            <color indexed="81"/>
            <rFont val="Tahoma"/>
            <family val="2"/>
          </rPr>
          <t>Se concerto con la SEC que se entendería como oferta frecuente 8 actividades en una misma localidad</t>
        </r>
      </text>
    </comment>
    <comment ref="I83" authorId="4" shapeId="0" xr:uid="{A6F9CD7B-48E8-4898-9922-DB257466A6C4}">
      <text>
        <r>
          <rPr>
            <sz val="9"/>
            <color indexed="81"/>
            <rFont val="Tahoma"/>
            <family val="2"/>
          </rPr>
          <t>1. Antonio Nariño (PCC)
2. Ciudad Bolívar (PCC)
3. San Cristobal (PCC)
4. Usaquén (PCC)
5. Usme (PCC)
6. Kennedy (PCC)</t>
        </r>
      </text>
    </comment>
    <comment ref="F84" authorId="4" shapeId="0" xr:uid="{86C136EF-5A60-4DE2-A3D8-EA3F29AB50ED}">
      <text>
        <r>
          <rPr>
            <b/>
            <sz val="9"/>
            <color indexed="81"/>
            <rFont val="Tahoma"/>
            <family val="2"/>
          </rPr>
          <t>Luz Angela Rodriguez Chaparro:</t>
        </r>
        <r>
          <rPr>
            <sz val="9"/>
            <color indexed="81"/>
            <rFont val="Tahoma"/>
            <family val="2"/>
          </rPr>
          <t xml:space="preserve">
Santa Fe 
Suba</t>
        </r>
      </text>
    </comment>
    <comment ref="I84" authorId="4" shapeId="0" xr:uid="{A4C446B2-2487-4C89-B8F5-2CDF7BDF3DA1}">
      <text>
        <r>
          <rPr>
            <sz val="9"/>
            <color indexed="81"/>
            <rFont val="Tahoma"/>
            <family val="2"/>
          </rPr>
          <t xml:space="preserve">1. Santa Fe (TJEG- TEP)
2. La Candelaria (MT)
3. Suba (EM - TJMSD)
</t>
        </r>
      </text>
    </comment>
    <comment ref="P97" authorId="2" shapeId="0" xr:uid="{9D2D11CD-71ED-4764-B9A1-C93D7852ECEF}">
      <text>
        <r>
          <rPr>
            <b/>
            <sz val="9"/>
            <color indexed="81"/>
            <rFont val="Tahoma"/>
            <family val="2"/>
          </rPr>
          <t>Maritza Amado Barrantes:</t>
        </r>
        <r>
          <rPr>
            <sz val="9"/>
            <color indexed="81"/>
            <rFont val="Tahoma"/>
            <family val="2"/>
          </rPr>
          <t xml:space="preserve">
*-1 Programación Artística. Redes Universitarias - SUE y Acun (Gerencia de Danza)
*-1  Festival Bogotá Ciudad de Folclor(Gerencia de Danza)
*-1 VII Festival Bogotá Ciudad de Folclor(Gerencia de Danza)
*-1 Circuito de circulación:  Muestras de fragmentos Residencias Permanentes. Programa Orbitante Danza Bogotá.(Gerencia de Danza)
*-1  Bogotá Ciudad de Folclor(Gerencia de Danza)
*-3 Concierto 31 Minutos (Gerencia de Música)</t>
        </r>
      </text>
    </comment>
    <comment ref="F105" authorId="4" shapeId="0" xr:uid="{0FDF227E-0B99-4691-93F5-2FE3EB363DA4}">
      <text>
        <r>
          <rPr>
            <b/>
            <sz val="9"/>
            <color indexed="81"/>
            <rFont val="Tahoma"/>
            <family val="2"/>
          </rPr>
          <t>Luz Angela Rodriguez Chaparro:</t>
        </r>
        <r>
          <rPr>
            <sz val="9"/>
            <color indexed="81"/>
            <rFont val="Tahoma"/>
            <family val="2"/>
          </rPr>
          <t xml:space="preserve">
No se reportan aún 23 participantes en talleres de formación que va hasta noviembre 2019</t>
        </r>
      </text>
    </comment>
    <comment ref="P109" authorId="2" shapeId="0" xr:uid="{01E68B89-8ABB-4783-8846-26D7D3409BA3}">
      <text>
        <r>
          <rPr>
            <b/>
            <sz val="9"/>
            <color indexed="81"/>
            <rFont val="Tahoma"/>
            <family val="2"/>
          </rPr>
          <t>Maritza Amado Barrantes:</t>
        </r>
        <r>
          <rPr>
            <sz val="9"/>
            <color indexed="81"/>
            <rFont val="Tahoma"/>
            <family val="2"/>
          </rPr>
          <t xml:space="preserve">
*-150 Programación Artística. Redes Universitarias - SUE y Acun (Gerencia de Danza)
*-450 Festival Bogotá Ciudad de Folclor(Gerencia de Danza)
*-988 VII Festival Bogotá Ciudad de Folclor(Gerencia de Danza)
*-43 Circuito de circulación:  Muestras de fragmentos Residencias Permanentes. Programa Orbitante Danza Bogotá.(Gerencia de Danza)
*-124  Bogotá Ciudad de Folclor(Gerencia de Danza)
*-4876 Concierto 31 Minutos (Gerencia de Música)</t>
        </r>
      </text>
    </comment>
    <comment ref="D110" authorId="3" shapeId="0" xr:uid="{AFA50E31-A21F-41B3-A3B4-6E92A1BC3CF3}">
      <text>
        <r>
          <rPr>
            <b/>
            <sz val="9"/>
            <color indexed="8"/>
            <rFont val="Tahoma"/>
            <family val="2"/>
          </rPr>
          <t xml:space="preserve">REVISAR PLAN DE ACCION PARA RECORDAR CÓMO ES QUE VAMOS A MEDIR ESTO… CREO QUE ES MEDIANTE LA GENTE QUE SE CONTRATA POR APOYO A LA GESTIÓN </t>
        </r>
      </text>
    </comment>
    <comment ref="C113" authorId="1" shapeId="0" xr:uid="{C0FFBFAB-5734-4BD0-AAE5-138565AAC2C2}">
      <text>
        <r>
          <rPr>
            <b/>
            <sz val="9"/>
            <color indexed="81"/>
            <rFont val="Tahoma"/>
            <family val="2"/>
          </rPr>
          <t>% de ingreso</t>
        </r>
      </text>
    </comment>
    <comment ref="Q113" authorId="4" shapeId="0" xr:uid="{279B9D7E-F9D4-45E4-B1A7-2118F459D9BA}">
      <text>
        <r>
          <rPr>
            <sz val="9"/>
            <color indexed="81"/>
            <rFont val="Tahoma"/>
            <family val="2"/>
          </rPr>
          <t>Los recursos gestionados por venta de bienes, servicios y alianzas para la operación de los escenarios a cargo del Idartes, ascendieron a la suma de $ 4.103.634.214 millones de pesos. Cada uno de los equipamientos presentó el siguiente comportamiento de recaudo de ingresos al primer trimestre de 2019: El Teatro Municipal Jorge Eliecer Gaitán recaudó $603.1. La Cinemateca Distrital recaudó $56.6 millones. El Planetario de Bogotá recaudó $1.120,4 millones. Teatro Julio Mario Santo Domingo, reportó un ingreso de $2.306,4 millones de pesos, los ingresos del mes de junio se encuentra en trámite de legalización de ingresos y gastos. En resumen, el recaudo de los equipamientos culturales asciende a la suma de $4103.6 millones, lo que representa el 40.9% de la meta propuesta para los recursos gestionados por venta de bienes y servicios y alianzas para la operación de los escenarios a cargo del Idartes según el modelo de gestión en red. Sin embargo este % representa el 1.23% del cumplimiento de la meta.</t>
        </r>
      </text>
    </comment>
    <comment ref="I117" authorId="4" shapeId="0" xr:uid="{521688F6-2EEF-4598-9FF4-B6B1B54A8A36}">
      <text>
        <r>
          <rPr>
            <sz val="9"/>
            <color indexed="81"/>
            <rFont val="Tahoma"/>
            <family val="2"/>
          </rPr>
          <t xml:space="preserve">Programa de mantenimiento especializado
</t>
        </r>
      </text>
    </comment>
    <comment ref="L117" authorId="6" shapeId="0" xr:uid="{FD3EDD5F-7470-4FFB-B9E0-833D624854B8}">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confirmar con Pilar!!</t>
      </text>
    </comment>
    <comment ref="F138" authorId="5" shapeId="0" xr:uid="{B6008F9D-79E8-4756-ACCC-2E269A808DE4}">
      <text>
        <r>
          <rPr>
            <b/>
            <sz val="9"/>
            <color indexed="81"/>
            <rFont val="Tahoma"/>
            <family val="2"/>
          </rPr>
          <t>Daniel Sanchez Rojas:</t>
        </r>
        <r>
          <rPr>
            <sz val="9"/>
            <color indexed="81"/>
            <rFont val="Tahoma"/>
            <family val="2"/>
          </rPr>
          <t xml:space="preserve">
1.Laboratorio de “Tecnología, Artes mediáticas y pedagogías emergentes”.</t>
        </r>
      </text>
    </comment>
    <comment ref="I138" authorId="5" shapeId="0" xr:uid="{0D973BFA-20CD-4E94-A830-2943D391CA46}">
      <text>
        <r>
          <rPr>
            <b/>
            <sz val="9"/>
            <color indexed="81"/>
            <rFont val="Tahoma"/>
            <family val="2"/>
          </rPr>
          <t>Daniel Sanchez Rojas:</t>
        </r>
        <r>
          <rPr>
            <sz val="9"/>
            <color indexed="81"/>
            <rFont val="Tahoma"/>
            <family val="2"/>
          </rPr>
          <t xml:space="preserve">
1. Laboratorio Interactivo “Tecnología, Artes mediáticas y pedagogías emergentes”.
2. Laboratorio Interactivo “Simbiosis-Habitar / Reconocer”.
3. Laboratorio Interactivo“De Co-creación Campo-Ciudad”</t>
        </r>
      </text>
    </comment>
    <comment ref="L138" authorId="5" shapeId="0" xr:uid="{B04AEDEA-B439-4239-AEE2-93BA4B74C27D}">
      <text>
        <r>
          <rPr>
            <b/>
            <sz val="9"/>
            <color indexed="81"/>
            <rFont val="Tahoma"/>
            <family val="2"/>
          </rPr>
          <t>Daniel Sanchez Rojas:</t>
        </r>
        <r>
          <rPr>
            <sz val="9"/>
            <color indexed="81"/>
            <rFont val="Tahoma"/>
            <family val="2"/>
          </rPr>
          <t xml:space="preserve">
1. Laboratorio Interactivo “Tecnología, Artes mediáticas y pedagogías emergentes".
2. Laboratorio Interactivo “Simbiosis-Habitar / Reconocer”.
3. Laboratorio Interactivo“De Co-creación Campo-Ciudad”.
4. Laboratorio Interactivo “Klever: Creación e Inteligencia Artificial”.
5. Laboratorio Interactivo “Todo es Radio. Mutaciones de la Radio (Salón Nacional de Artistas)”.
6. Laboratorio interactivo “Ruido y Política”.
Laboratorio interactivo “A la orden, que se le ofrece”  .
</t>
        </r>
      </text>
    </comment>
    <comment ref="F143" authorId="5" shapeId="0" xr:uid="{21991EA4-C103-4A1F-B4D1-813C5EADD90D}">
      <text>
        <r>
          <rPr>
            <sz val="9"/>
            <color indexed="81"/>
            <rFont val="Tahoma"/>
            <family val="2"/>
          </rPr>
          <t>Daniel Sanchez Rojas:
Proyectos interinstitucionales en fase de planeación de actividades:
1. CONVENIO INTERADMINISTRATIVO MARCO IDIPRON-IDARTES, No. 004 DE 2017.
2. CONVENIO MARCO INTERADMINISTRATIVO DE COOPERACIÓN IDARTES-SECRETARÍA DISTRITAL DE GOBIERNO (SDG), No. 003 DE 2017</t>
        </r>
      </text>
    </comment>
    <comment ref="I143" authorId="5" shapeId="0" xr:uid="{371FE196-3E7E-447E-B49D-BA248B9B83AC}">
      <text>
        <r>
          <rPr>
            <sz val="9"/>
            <color indexed="81"/>
            <rFont val="Tahoma"/>
            <family val="2"/>
          </rPr>
          <t>Daniel Sanchez Rojas:
Proyectos interinstitucionales en fase de planeación de actividades:
1. CONVENIO INTERADMINISTRATIVO MARCO IDIPRON-IDARTES, No. 004 DE 2017.
2. CONVENIO MARCO INTERADMINISTRATIVO DE COOPERACIÓN IDARTES-SECRETARÍA DISTRITAL DE GOBIERNO (SDG), No. 003 DE 2017</t>
        </r>
      </text>
    </comment>
    <comment ref="L143" authorId="5" shapeId="0" xr:uid="{CE8CDC9A-A816-4427-8762-CED84F133B2D}">
      <text>
        <r>
          <rPr>
            <b/>
            <sz val="9"/>
            <color indexed="81"/>
            <rFont val="Tahoma"/>
            <family val="2"/>
          </rPr>
          <t xml:space="preserve">
1. Convenio Interadministrativo marco Idipron – Idartes No. 004 de 2017.
2. Convenio Marco Interadministrativo de Cooperación Idartes- Secretaría Distrital de Gobierno (SDG), No 003 de 2017.
3. Convenio Interadministrativo Idartes y la Secretaría Distrital de Seguridad, Convivencia y Justicia, No 0810 de 2019 
</t>
        </r>
        <r>
          <rPr>
            <sz val="9"/>
            <color indexed="81"/>
            <rFont val="Tahoma"/>
            <family val="2"/>
          </rPr>
          <t xml:space="preserve">
</t>
        </r>
      </text>
    </comment>
    <comment ref="F148" authorId="5" shapeId="0" xr:uid="{5499DDD4-3415-479C-B1A7-440B57554FF2}">
      <text>
        <r>
          <rPr>
            <b/>
            <sz val="9"/>
            <color indexed="81"/>
            <rFont val="Tahoma"/>
            <family val="2"/>
          </rPr>
          <t>Daniel Sanchez Rojas:</t>
        </r>
        <r>
          <rPr>
            <sz val="9"/>
            <color indexed="81"/>
            <rFont val="Tahoma"/>
            <family val="2"/>
          </rPr>
          <t xml:space="preserve">
Los 5 proyectos que se desarrollaran durante la vigencia 2019 seran:
1. Idartes Rural.
2. Beca de Creación Parques Para Todos .
3. Beca Arte Para la Transformación Social .
4. Diálogos para la transformación social desde el arte y la cultura .
5. Seminario Internacional cultura y arte para la transformación social 
</t>
        </r>
      </text>
    </comment>
    <comment ref="I148" authorId="5" shapeId="0" xr:uid="{14FE4B8E-5D59-4B8D-8EA3-09380DCDCA64}">
      <text>
        <r>
          <rPr>
            <b/>
            <sz val="9"/>
            <color indexed="81"/>
            <rFont val="Tahoma"/>
            <family val="2"/>
          </rPr>
          <t>Daniel Sanchez Rojas:</t>
        </r>
        <r>
          <rPr>
            <sz val="9"/>
            <color indexed="81"/>
            <rFont val="Tahoma"/>
            <family val="2"/>
          </rPr>
          <t xml:space="preserve">
Los 5 proyectos que se desarrollaran durante la vigencia 2019 seran:
1. Idartes Rural.
2. Beca de Creación Parques Para Todos .
3. Beca Arte Para la Transformación Social .
4. Diálogos para la transformación social desde el arte y la cultura .
5. Seminario Internacional cultura y arte para la transformación social 
</t>
        </r>
      </text>
    </comment>
    <comment ref="L148" authorId="5" shapeId="0" xr:uid="{5E974FFD-0367-470B-B5E8-2FE21B19C317}">
      <text>
        <r>
          <rPr>
            <b/>
            <sz val="9"/>
            <color indexed="81"/>
            <rFont val="Tahoma"/>
            <family val="2"/>
          </rPr>
          <t>Daniel Sanchez Rojas:</t>
        </r>
        <r>
          <rPr>
            <sz val="9"/>
            <color indexed="81"/>
            <rFont val="Tahoma"/>
            <family val="2"/>
          </rPr>
          <t xml:space="preserve">
1. Idartes Rural .
2. Beca de Creación Parques Para Todos .
3. Beca Arte Para la Transformación Social 
4. Diálogos para la transformación social desde el arte y la cultura
5. Seminario Internacional cultura y arte para la transformación social  
</t>
        </r>
      </text>
    </comment>
    <comment ref="I155" authorId="2" shapeId="0" xr:uid="{C6BC19E6-CC52-4AF1-9188-CB59FF8DDEE3}">
      <text>
        <r>
          <rPr>
            <b/>
            <sz val="9"/>
            <color indexed="81"/>
            <rFont val="Tahoma"/>
            <family val="2"/>
          </rPr>
          <t>Maritza Amado Barrantes:</t>
        </r>
        <r>
          <rPr>
            <sz val="9"/>
            <color indexed="81"/>
            <rFont val="Tahoma"/>
            <family val="2"/>
          </rPr>
          <t xml:space="preserve">
1440: Sectores Sociales</t>
        </r>
      </text>
    </comment>
    <comment ref="L155" authorId="2" shapeId="0" xr:uid="{2456464A-3121-4234-BAB1-F1C6FF497621}">
      <text>
        <r>
          <rPr>
            <b/>
            <sz val="9"/>
            <color indexed="81"/>
            <rFont val="Tahoma"/>
            <family val="2"/>
          </rPr>
          <t>Maritza Amado Barrantes:</t>
        </r>
        <r>
          <rPr>
            <sz val="9"/>
            <color indexed="81"/>
            <rFont val="Tahoma"/>
            <family val="2"/>
          </rPr>
          <t xml:space="preserve">
Grupos étnicos:117
Sectores sociales: 1332</t>
        </r>
      </text>
    </comment>
    <comment ref="C163" authorId="3" shapeId="0" xr:uid="{AA361484-1AF1-4F3B-8881-587A0765D405}">
      <text>
        <r>
          <rPr>
            <b/>
            <sz val="9"/>
            <color indexed="8"/>
            <rFont val="Tahoma"/>
            <family val="2"/>
          </rPr>
          <t xml:space="preserve">línea laboratorios y actividades de circulación </t>
        </r>
      </text>
    </comment>
    <comment ref="P164" authorId="2" shapeId="0" xr:uid="{626CA2E6-DBEB-4509-A44C-AD625F6461E4}">
      <text>
        <r>
          <rPr>
            <b/>
            <sz val="9"/>
            <color indexed="81"/>
            <rFont val="Tahoma"/>
            <family val="2"/>
          </rPr>
          <t>Maritza Amado Barrantes:</t>
        </r>
        <r>
          <rPr>
            <sz val="9"/>
            <color indexed="81"/>
            <rFont val="Tahoma"/>
            <family val="2"/>
          </rPr>
          <t xml:space="preserve">
*-210 Festival Bogotá Ciudad de Folclor (cultura en común)
*-106  Circuito de circulación:  Residentes Temporales I. Programa Orbitante Danza Bogotá. (Cultura en común)</t>
        </r>
      </text>
    </comment>
    <comment ref="I171" authorId="2" shapeId="0" xr:uid="{F105E62D-EFAE-4B72-BFDE-6B81E4F190F2}">
      <text>
        <r>
          <rPr>
            <b/>
            <sz val="9"/>
            <color indexed="81"/>
            <rFont val="Tahoma"/>
            <family val="2"/>
          </rPr>
          <t>Maritza Amado Barrantes:</t>
        </r>
        <r>
          <rPr>
            <sz val="9"/>
            <color indexed="81"/>
            <rFont val="Tahoma"/>
            <family val="2"/>
          </rPr>
          <t xml:space="preserve">
131: sectores sociales</t>
        </r>
      </text>
    </comment>
    <comment ref="L171" authorId="2" shapeId="0" xr:uid="{44238008-7244-45AC-97BB-67EC11E9D039}">
      <text>
        <r>
          <rPr>
            <b/>
            <sz val="9"/>
            <color indexed="81"/>
            <rFont val="Tahoma"/>
            <family val="2"/>
          </rPr>
          <t>Maritza Amado Barrantes:</t>
        </r>
        <r>
          <rPr>
            <sz val="9"/>
            <color indexed="81"/>
            <rFont val="Tahoma"/>
            <family val="2"/>
          </rPr>
          <t xml:space="preserve">
Grupos étnicos: 49
Sectores sociales: 25</t>
        </r>
      </text>
    </comment>
    <comment ref="P180" authorId="2" shapeId="0" xr:uid="{D7589E6C-531C-4E79-9092-9B4993134A34}">
      <text>
        <r>
          <rPr>
            <b/>
            <sz val="9"/>
            <color indexed="81"/>
            <rFont val="Tahoma"/>
            <family val="2"/>
          </rPr>
          <t>Maritza Amado Barrantes:</t>
        </r>
        <r>
          <rPr>
            <sz val="9"/>
            <color indexed="81"/>
            <rFont val="Tahoma"/>
            <family val="2"/>
          </rPr>
          <t xml:space="preserve">
*-1 Festival Bogotá Ciudad de Folclor (cultura en común)
*-1 Circuito de circulación:  Residentes Temporales I. Programa Orbitante Danza Bogotá. (Cultura en común)</t>
        </r>
      </text>
    </comment>
    <comment ref="F193" authorId="5" shapeId="0" xr:uid="{36E5E8D8-61B6-47F2-AA42-07F8B924C46C}">
      <text>
        <r>
          <rPr>
            <b/>
            <sz val="9"/>
            <color indexed="81"/>
            <rFont val="Tahoma"/>
            <family val="2"/>
          </rPr>
          <t>Daniel Sanchez Rojas:</t>
        </r>
        <r>
          <rPr>
            <sz val="9"/>
            <color indexed="81"/>
            <rFont val="Tahoma"/>
            <family val="2"/>
          </rPr>
          <t xml:space="preserve">
1. Convocatoria de becas con enfoque diferencial dirigidas a la población afrodescendiente para potenciar inicia-tivas metropolitanas, locales y comunitarias relacionadas con procesos y prácticas artísticas de ese grupo étnico </t>
        </r>
      </text>
    </comment>
    <comment ref="I193" authorId="5" shapeId="0" xr:uid="{19B632A1-14BA-44FB-8D70-F4C33CF05928}">
      <text>
        <r>
          <rPr>
            <b/>
            <sz val="9"/>
            <color indexed="81"/>
            <rFont val="Tahoma"/>
            <family val="2"/>
          </rPr>
          <t>Daniel Sanchez Rojas:</t>
        </r>
        <r>
          <rPr>
            <sz val="9"/>
            <color indexed="81"/>
            <rFont val="Tahoma"/>
            <family val="2"/>
          </rPr>
          <t xml:space="preserve">
Grupos étnicos:
2. Formación dirigida a grupos étnicos del proyecto “Arte para la Interculturalidad” en el marco de FILBO 2019.
Circulación dirigida a grupos étnicos del proyecto “Arte para la Interculturalidad” en el marco de FILBO 2019.
4. Apoyo realización Premios Benkos Biohó.
5. Generación de condiciones para el desarrollo de prácticas artísticas del proyecto “Arte Para la Interculturalidad” en el marco de Filbo 2019.
Sectores Sociales: 
6. Laboratorios de Arte con Personas con Discapacidad y Personas Cuidadoras .
7. Estrategia Territorial Artífices .
8. Estrategia Habitar Mis Historias: Laboratorio con Personas Habitantes de Calle</t>
        </r>
      </text>
    </comment>
    <comment ref="L197" authorId="5" shapeId="0" xr:uid="{68879FD2-84AC-45C7-A95F-A3E5A7BDBEAD}">
      <text>
        <r>
          <rPr>
            <b/>
            <sz val="9"/>
            <color indexed="81"/>
            <rFont val="Tahoma"/>
            <family val="2"/>
          </rPr>
          <t>Daniel Sanchez Rojas:</t>
        </r>
        <r>
          <rPr>
            <sz val="9"/>
            <color indexed="81"/>
            <rFont val="Tahoma"/>
            <family val="2"/>
          </rPr>
          <t xml:space="preserve">
1. Consejo Distrital de las Artes</t>
        </r>
      </text>
    </comment>
    <comment ref="I198" authorId="5" shapeId="0" xr:uid="{A861CD40-705E-4EFE-8319-D39A46A64360}">
      <text>
        <r>
          <rPr>
            <b/>
            <sz val="9"/>
            <color indexed="81"/>
            <rFont val="Tahoma"/>
            <family val="2"/>
          </rPr>
          <t>Daniel Sanchez Rojas:</t>
        </r>
        <r>
          <rPr>
            <sz val="9"/>
            <color indexed="81"/>
            <rFont val="Tahoma"/>
            <family val="2"/>
          </rPr>
          <t xml:space="preserve">
1. Consejo Distrital de Arte Dramático</t>
        </r>
      </text>
    </comment>
    <comment ref="F199" authorId="5" shapeId="0" xr:uid="{CE63F3E0-9FD1-4CC5-AF41-DB78802C2734}">
      <text>
        <r>
          <rPr>
            <b/>
            <sz val="9"/>
            <color indexed="81"/>
            <rFont val="Tahoma"/>
            <family val="2"/>
          </rPr>
          <t>Daniel Sanchez Rojas:</t>
        </r>
        <r>
          <rPr>
            <sz val="9"/>
            <color indexed="81"/>
            <rFont val="Tahoma"/>
            <family val="2"/>
          </rPr>
          <t xml:space="preserve">
1. Consejo Distrital de Artes Audiovisuales</t>
        </r>
      </text>
    </comment>
    <comment ref="L199" authorId="5" shapeId="0" xr:uid="{6EEC6580-A035-4CE5-BF46-29290FF9F8C9}">
      <text>
        <r>
          <rPr>
            <b/>
            <sz val="9"/>
            <color indexed="81"/>
            <rFont val="Tahoma"/>
            <family val="2"/>
          </rPr>
          <t>Daniel Sanchez Rojas:</t>
        </r>
        <r>
          <rPr>
            <sz val="9"/>
            <color indexed="81"/>
            <rFont val="Tahoma"/>
            <family val="2"/>
          </rPr>
          <t xml:space="preserve">
1. Comisión Fiílmica - PUFA</t>
        </r>
      </text>
    </comment>
    <comment ref="F200" authorId="5" shapeId="0" xr:uid="{DA00D6C7-81BC-47DE-B26B-560484BCCE0B}">
      <text>
        <r>
          <rPr>
            <b/>
            <sz val="9"/>
            <color indexed="81"/>
            <rFont val="Tahoma"/>
            <family val="2"/>
          </rPr>
          <t xml:space="preserve">Daniel Sanchez Rojas:
</t>
        </r>
        <r>
          <rPr>
            <sz val="9"/>
            <color indexed="81"/>
            <rFont val="Tahoma"/>
            <family val="2"/>
          </rPr>
          <t xml:space="preserve">
1.Comité para la práctica responsable del Arte Urbano y el Grafiti.
2.Consejo Distrital de Artes Plásticas y Visuales </t>
        </r>
      </text>
    </comment>
    <comment ref="F201" authorId="5" shapeId="0" xr:uid="{24D865D5-3343-499E-BE18-E923502EB07B}">
      <text>
        <r>
          <rPr>
            <b/>
            <sz val="9"/>
            <color indexed="81"/>
            <rFont val="Tahoma"/>
            <family val="2"/>
          </rPr>
          <t>Daniel Sanchez Rojas:</t>
        </r>
        <r>
          <rPr>
            <sz val="9"/>
            <color indexed="81"/>
            <rFont val="Tahoma"/>
            <family val="2"/>
          </rPr>
          <t xml:space="preserve">
1.  mesa de Universidades.
2. Consejo de  Distrital de Danza</t>
        </r>
      </text>
    </comment>
    <comment ref="I201" authorId="5" shapeId="0" xr:uid="{01548AD9-DBCA-4C16-B28C-CE5ABEE410B0}">
      <text>
        <r>
          <rPr>
            <b/>
            <sz val="9"/>
            <color indexed="81"/>
            <rFont val="Tahoma"/>
            <family val="2"/>
          </rPr>
          <t>Daniel Sanchez Rojas:</t>
        </r>
        <r>
          <rPr>
            <sz val="9"/>
            <color indexed="81"/>
            <rFont val="Tahoma"/>
            <family val="2"/>
          </rPr>
          <t xml:space="preserve">
1. Espacio de participación Orbitante Plataforma Danza Bogotá. </t>
        </r>
      </text>
    </comment>
    <comment ref="L201" authorId="5" shapeId="0" xr:uid="{57BF69EF-0E66-415F-9AC6-113476EEC03E}">
      <text>
        <r>
          <rPr>
            <b/>
            <sz val="9"/>
            <color indexed="81"/>
            <rFont val="Tahoma"/>
            <family val="2"/>
          </rPr>
          <t>Daniel Sanchez Rojas:</t>
        </r>
        <r>
          <rPr>
            <sz val="9"/>
            <color indexed="81"/>
            <rFont val="Tahoma"/>
            <family val="2"/>
          </rPr>
          <t xml:space="preserve">
1. Mesa Sectorial de Danza </t>
        </r>
      </text>
    </comment>
    <comment ref="F202" authorId="5" shapeId="0" xr:uid="{DB7E5376-1E98-4D1E-A637-FFC06589A2E9}">
      <text>
        <r>
          <rPr>
            <b/>
            <sz val="9"/>
            <color indexed="81"/>
            <rFont val="Tahoma"/>
            <family val="2"/>
          </rPr>
          <t>Daniel Sanchez Rojas:</t>
        </r>
        <r>
          <rPr>
            <sz val="9"/>
            <color indexed="81"/>
            <rFont val="Tahoma"/>
            <family val="2"/>
          </rPr>
          <t xml:space="preserve">
1. Consejo Distrital de Literatura</t>
        </r>
      </text>
    </comment>
    <comment ref="F203" authorId="5" shapeId="0" xr:uid="{3CAFD2B4-F451-4D98-9E89-16A1EA6447B5}">
      <text>
        <r>
          <rPr>
            <b/>
            <sz val="9"/>
            <color indexed="81"/>
            <rFont val="Tahoma"/>
            <family val="2"/>
          </rPr>
          <t>Daniel Sanchez Rojas:</t>
        </r>
        <r>
          <rPr>
            <sz val="9"/>
            <color indexed="81"/>
            <rFont val="Tahoma"/>
            <family val="2"/>
          </rPr>
          <t xml:space="preserve">
1.  Consejo Distrital de Música </t>
        </r>
      </text>
    </comment>
    <comment ref="P205" authorId="4" shapeId="0" xr:uid="{4494E972-B117-4FCA-BEDE-55FCC2EAC82D}">
      <text>
        <r>
          <rPr>
            <sz val="9"/>
            <color indexed="81"/>
            <rFont val="Tahoma"/>
            <family val="2"/>
          </rPr>
          <t xml:space="preserve">
Se están contanto espacios y no número de sesiones</t>
        </r>
      </text>
    </comment>
    <comment ref="F210" authorId="5" shapeId="0" xr:uid="{70260BA5-25BB-4B8F-92EE-B31FEDAD7C81}">
      <text>
        <r>
          <rPr>
            <b/>
            <sz val="9"/>
            <color indexed="81"/>
            <rFont val="Tahoma"/>
            <family val="2"/>
          </rPr>
          <t>Daniel Sanchez Rojas:</t>
        </r>
        <r>
          <rPr>
            <sz val="9"/>
            <color indexed="81"/>
            <rFont val="Tahoma"/>
            <family val="2"/>
          </rPr>
          <t xml:space="preserve">
Espacios en fase de Planeación:
1. Festivales al Barrio.
2. Habitar mis Historias.</t>
        </r>
      </text>
    </comment>
    <comment ref="I210" authorId="5" shapeId="0" xr:uid="{F1C5153A-B2D5-406D-A598-D2B939089213}">
      <text>
        <r>
          <rPr>
            <b/>
            <sz val="9"/>
            <color indexed="81"/>
            <rFont val="Tahoma"/>
            <family val="2"/>
          </rPr>
          <t>Daniel Sanchez Rojas:</t>
        </r>
        <r>
          <rPr>
            <sz val="9"/>
            <color indexed="81"/>
            <rFont val="Tahoma"/>
            <family val="2"/>
          </rPr>
          <t xml:space="preserve">
Espacios en fase de Planeación:
1. Festivales al Barrio.
2. Habitar mis Historias.</t>
        </r>
      </text>
    </comment>
    <comment ref="L210" authorId="5" shapeId="0" xr:uid="{A7D803AB-01CE-4202-87F0-97C2067044C8}">
      <text>
        <r>
          <rPr>
            <b/>
            <sz val="9"/>
            <color indexed="81"/>
            <rFont val="Tahoma"/>
            <family val="2"/>
          </rPr>
          <t>Daniel Sanchez Rojas:</t>
        </r>
        <r>
          <rPr>
            <sz val="9"/>
            <color indexed="81"/>
            <rFont val="Tahoma"/>
            <family val="2"/>
          </rPr>
          <t xml:space="preserve">
1. Festivales al Barrio.
2. Habitar mis Historias. </t>
        </r>
      </text>
    </comment>
    <comment ref="P216" authorId="7" shapeId="0" xr:uid="{D9F5DE58-9273-45C0-8029-AFE3397CC36A}">
      <text>
        <t>[Comentario encadenado]
Su versión de Excel le permite leer este comentario encadenado; sin embargo, las ediciones que se apliquen se quitarán si el archivo se abre en una versión más reciente de Excel. Más información: https://go.microsoft.com/fwlink/?linkid=870924
Comentario:
    LB: 9.533 OE: 45.942</t>
      </text>
    </comment>
    <comment ref="B227" authorId="3" shapeId="0" xr:uid="{0EC5E82A-765B-4D1E-AD31-25A552B624AF}">
      <text>
        <r>
          <rPr>
            <b/>
            <sz val="9"/>
            <color indexed="8"/>
            <rFont val="Tahoma"/>
            <family val="2"/>
          </rPr>
          <t xml:space="preserve">ESPACIOS EN OPERACIÓN 
</t>
        </r>
      </text>
    </comment>
    <comment ref="F227" authorId="2" shapeId="0" xr:uid="{93D131BE-C874-481D-88EF-45C15A9A0D7A}">
      <text>
        <r>
          <rPr>
            <b/>
            <sz val="9"/>
            <color indexed="81"/>
            <rFont val="Tahoma"/>
            <family val="2"/>
          </rPr>
          <t>Maritza Amado Barrantes:</t>
        </r>
        <r>
          <rPr>
            <sz val="9"/>
            <color indexed="81"/>
            <rFont val="Tahoma"/>
            <family val="2"/>
          </rPr>
          <t xml:space="preserve">
1. LABORATORIO PREGUNTARIO
2. LABORATORIO PARQUE
3. LABORATORIO OPTIKO
4. LABORATORIO VIA LACTEA
5. LABORATORIO EL  SUMERGIBLE
6. LABORATORIO  UMBRA
7. LABORATORIO MAR DE LOS SENTIDOS
8. LABORATORIO JUEGO DE NICHOS
9. LABORATORIO EL LABERINTO
10. LABORATORIO EN LAS ALTURAS
11. LABORATORIO FRACTARIO
</t>
        </r>
      </text>
    </comment>
    <comment ref="G227" authorId="2" shapeId="0" xr:uid="{601FCDAF-86A2-4A2B-96F2-C808117EA484}">
      <text>
        <r>
          <rPr>
            <b/>
            <sz val="9"/>
            <color indexed="81"/>
            <rFont val="Tahoma"/>
            <family val="2"/>
          </rPr>
          <t>Maritza Amado Barrantes:</t>
        </r>
        <r>
          <rPr>
            <sz val="9"/>
            <color indexed="81"/>
            <rFont val="Tahoma"/>
            <family val="2"/>
          </rPr>
          <t xml:space="preserve">
1. LABORATORIO UMBRA
2. LABORATORIO BIBLIOTECA
3. LABORATORIO CANTASAURIO
4. LABORATORIO EL SUMERGIBLE
5. LABORATORIO EL LABERINTO
6. LABORATORIO EL PARQUE
7. LABORATORIO EL PREGUNTARIO
8. LABORATORIO EN LAS ALTURAS
9. LABORATORIO ENTRENUBES
10. LABORATORIO FRACTARIO
11. LABORATORIO JUEGO DE NICHOS
12. LABORATORIO MAR DE LOS SENTIDOS
13. LABORATORIO NIDO DE USME
14. LABORATORIO OPTIKO
15. LABORATORIO PARQUE DE LOS NIÑOS
16. LABORATORIO VIA LACTEA
</t>
        </r>
      </text>
    </comment>
    <comment ref="H227" authorId="2" shapeId="0" xr:uid="{BF13083F-BCEB-41BF-8A8C-548E1507FD09}">
      <text>
        <r>
          <rPr>
            <b/>
            <sz val="9"/>
            <color indexed="81"/>
            <rFont val="Tahoma"/>
            <family val="2"/>
          </rPr>
          <t>Maritza Amado Barrantes:</t>
        </r>
        <r>
          <rPr>
            <sz val="9"/>
            <color indexed="81"/>
            <rFont val="Tahoma"/>
            <family val="2"/>
          </rPr>
          <t xml:space="preserve">
1. LABORATORIO  UMBRA
2. LABORATORIO BIBLIOTECA
3. LABORATORIO CANTASAURIO
4. LABORATORIO CASTELARIUM
5. LABORATORIO EL LABERINTO
6. LABORATORIO EL PARQUE
7. LABORATORIO EL PREGUNTARIO
8. LABORATORIO EL SUMERGIBLE
9. LABORATORIO EN LAS ALTURAS
10. LABORATORIO ENTRENUBES
11. LABORATORIO FRACTARIO
12. LABORATORIO JUEGO DE NICHOS
13. LABORATORIO LA ONDA
14. LABORATORIO MAR DE LOS SENTIDOS
15. LABORATORIO NIDO DE USME
16. LABORATORIO OPTIKO
17. LABORATORIO PARQUE DE LOS NIÑOS
18. LABORATORIO VIA LACTEA
</t>
        </r>
      </text>
    </comment>
    <comment ref="I227" authorId="2" shapeId="0" xr:uid="{62F071BB-606A-4D91-8A3A-BCD16181C48B}">
      <text>
        <r>
          <rPr>
            <b/>
            <sz val="9"/>
            <color indexed="81"/>
            <rFont val="Tahoma"/>
            <family val="2"/>
          </rPr>
          <t>Maritza Amado Barrantes:</t>
        </r>
        <r>
          <rPr>
            <sz val="9"/>
            <color indexed="81"/>
            <rFont val="Tahoma"/>
            <family val="2"/>
          </rPr>
          <t xml:space="preserve">
1. LABORATORIO PARQUE
2. LABORATORIO  UMBRA
3. LABORATORIO BIBLIOTECA
4. LABORATORIO CANTASAURIO
5. LABORATORIO CASTELARIUM
6. LABORATORIO EL LABERINTO
7. LABORATORIO EL SUMERGIBLE
8. LABORATORIO EN LAS ALTURAS
9. LABORATORIO ENTRENUBES
10. LABORATORIO FRACTARIO
11. LABORATORIO JUEGO DE NICHOS
12. LABORATORIO LA ONDA
13. LABORATORIO MAR DE LOS SENTIDOS
14. LABORATORIO MUSEO COLONIAL
15. LABORATORIO NIDO DE USME
16. LABORATORIO OPTIKO
17. LABORATORIO PARQUE DE LOS NIÑOS
18. LABORATORIO PREGUNTARIO
19. LABORATORIO RAYITO
20. LABORATORIO VÍA LÁCTEA
</t>
        </r>
      </text>
    </comment>
    <comment ref="J227" authorId="2" shapeId="0" xr:uid="{8D5C4D13-BAEE-403B-B251-4DA7DBBB315F}">
      <text>
        <r>
          <rPr>
            <b/>
            <sz val="9"/>
            <color indexed="81"/>
            <rFont val="Tahoma"/>
            <family val="2"/>
          </rPr>
          <t>Maritza Amado Barrantes:</t>
        </r>
        <r>
          <rPr>
            <sz val="9"/>
            <color indexed="81"/>
            <rFont val="Tahoma"/>
            <family val="2"/>
          </rPr>
          <t xml:space="preserve">
1. LABORATORIO  UMBRA
2. LABORATORIO BIBLIOTECA
3. LABORATORIO CANTASAURIO
4. LABORATORIO CASTELARIUM
5. LABORATORIO EL LABERINTO
6. LABORATORIO EL PARQUE
7. LABORATORIO EL PREGUNTARIO
8. LABORATORIO EL SUMERGIBLE
9. LABORATORIO EN LAS ALTURAS
10. LABORATORIO ENTRENUBES
11. LABORATORIO FRACTARIO
12. LABORATORIO JUEGO DE NICHOS
13. LABORATORIO LA ONDA
14. LABORATORIO MAR DE LOS SENTIDOS
15. LABORATORIO MUSEO COLONIAL
16. LABORATORIO NIDO DE USME
17. LABORATORIO OPTIKO
18. LABORATORIO RAYITO
19. LABORATORIO VIA LACTEA
</t>
        </r>
      </text>
    </comment>
    <comment ref="K227" authorId="2" shapeId="0" xr:uid="{DCAECF0F-DDFF-4F77-B6A6-28CC56920FC5}">
      <text>
        <r>
          <rPr>
            <b/>
            <sz val="9"/>
            <color indexed="81"/>
            <rFont val="Tahoma"/>
            <family val="2"/>
          </rPr>
          <t>Maritza Amado Barrantes:</t>
        </r>
        <r>
          <rPr>
            <sz val="9"/>
            <color indexed="81"/>
            <rFont val="Tahoma"/>
            <family val="2"/>
          </rPr>
          <t xml:space="preserve">
1. LABORATORIO PARQUE
2. LABORATORIO  UMBRA
3. LABORATORIO BIBLIOTECA
4. LABORATORIO CANTASAURIO
5. LABORATORIO CASTELARIUM
6. LABORATORIO EL  SUMERGIBLE
7. LABORATORIO EL LABERINTO
8. LABORATORIO EL PREGUNTARIO
9. LABORATORIO EN LAS ALTURAS
10. LABORATORIO ENTRENUBES
11. LABORATORIO FRACTARIO
12. LABORATORIO JUEGO DE NICHOS
13. LABORATORIO LA ONDA
14. LABORATORIO MAR DE LOS SENTIDOS
15. LABORATORIO MUSEO COLONIAL
16. LABORATORIO NIDO DE USME
17. LABORATORIO OPTIKO
18. LABORATORIO RAYITO
19. LABORATORIO VIA LACTEA
</t>
        </r>
      </text>
    </comment>
    <comment ref="L227" authorId="2" shapeId="0" xr:uid="{30057C49-51C6-4DB7-8E78-642D93E24F86}">
      <text>
        <r>
          <rPr>
            <b/>
            <sz val="9"/>
            <color indexed="81"/>
            <rFont val="Tahoma"/>
            <family val="2"/>
          </rPr>
          <t>Maritza Amado Barrantes:</t>
        </r>
        <r>
          <rPr>
            <sz val="9"/>
            <color indexed="81"/>
            <rFont val="Tahoma"/>
            <family val="2"/>
          </rPr>
          <t xml:space="preserve">
1. LABORATORIO PREGUNTARIO
2. LABORATORIO UMBRA
3. LABORATORIO EL SUMERGIBLE
4. LABORATORIO BIBLIOTECA
5. LABORATORIO CANTASAURIO
6. LABORATORIO CASTELARIUM
7. LABORATORIO EL LABERINTO
8. LABORATORIO PARQUE
9. LABORATORIO EN LAS ALTURAS
10. LABORATORIO OPTIKO
11. LABORATORIO VIA LACTEA
12. LABORATORIO MAR DE LOS SENTIDOS
13. LABORATORIO JUEGO DE NICHOS
14. LABORATORIO NIDO DE USME
15. LABORATORIO FRACTARIO
16. LABORATORIO ENTRENUBES
17. LABORATORIO LA ONDA
18. LABORATORIO RAYITO
19. LABORATORIO MUSEO COLONIAL
</t>
        </r>
      </text>
    </comment>
    <comment ref="F232" authorId="4" shapeId="0" xr:uid="{EC964E89-9030-4506-A43F-FA5534D7745E}">
      <text>
        <r>
          <rPr>
            <b/>
            <sz val="9"/>
            <color indexed="81"/>
            <rFont val="Tahoma"/>
            <family val="2"/>
          </rPr>
          <t>Luz Angela Rodriguez Chaparro:</t>
        </r>
        <r>
          <rPr>
            <sz val="9"/>
            <color indexed="81"/>
            <rFont val="Tahoma"/>
            <family val="2"/>
          </rPr>
          <t xml:space="preserve">
Publicación 2018: 95% (aumentó 5% frente a lo reportado a 2018)
Publicación 2019:15%</t>
        </r>
      </text>
    </comment>
    <comment ref="I232" authorId="4" shapeId="0" xr:uid="{D2365AEA-CAB8-4102-A5C2-4B86D30FFAF5}">
      <text>
        <r>
          <rPr>
            <b/>
            <sz val="9"/>
            <color indexed="81"/>
            <rFont val="Tahoma"/>
            <family val="2"/>
          </rPr>
          <t>Luz Angela Rodriguez Chaparro:</t>
        </r>
        <r>
          <rPr>
            <sz val="9"/>
            <color indexed="81"/>
            <rFont val="Tahoma"/>
            <family val="2"/>
          </rPr>
          <t xml:space="preserve">
Publicación 2018: 100% (aumentó 10% frente a lo reportado a 2018). Completando lo pendiente a 2018
Publicación 2019:15% (aumentó el 45% frente a lo reportado en el primer trimestre)</t>
        </r>
      </text>
    </comment>
    <comment ref="E243" authorId="2" shapeId="0" xr:uid="{04274A2B-6A39-4DF0-92A4-EFB4BD2B0500}">
      <text>
        <r>
          <rPr>
            <b/>
            <sz val="9"/>
            <color indexed="81"/>
            <rFont val="Tahoma"/>
            <family val="2"/>
          </rPr>
          <t>Maritza Amado Barrantes:</t>
        </r>
        <r>
          <rPr>
            <sz val="9"/>
            <color indexed="81"/>
            <rFont val="Tahoma"/>
            <family val="2"/>
          </rPr>
          <t xml:space="preserve">
985-Arte en la Escuela
1949-Emprende CREA</t>
        </r>
      </text>
    </comment>
    <comment ref="H243" authorId="2" shapeId="0" xr:uid="{A6E9B5D8-DFE0-40B7-A78F-A01136613757}">
      <text>
        <r>
          <rPr>
            <b/>
            <sz val="9"/>
            <color indexed="81"/>
            <rFont val="Tahoma"/>
            <family val="2"/>
          </rPr>
          <t>Maritza Amado Barrantes:</t>
        </r>
        <r>
          <rPr>
            <sz val="9"/>
            <color indexed="81"/>
            <rFont val="Tahoma"/>
            <family val="2"/>
          </rPr>
          <t xml:space="preserve">
AE 32011
LEC 4153</t>
        </r>
      </text>
    </comment>
    <comment ref="I243" authorId="2" shapeId="0" xr:uid="{9A5FC7CE-4DAB-4718-AE90-1B45ACADD7F1}">
      <text>
        <r>
          <rPr>
            <b/>
            <sz val="9"/>
            <color indexed="81"/>
            <rFont val="Tahoma"/>
            <family val="2"/>
          </rPr>
          <t>Maritza Amado Barrantes:</t>
        </r>
        <r>
          <rPr>
            <sz val="9"/>
            <color indexed="81"/>
            <rFont val="Tahoma"/>
            <family val="2"/>
          </rPr>
          <t xml:space="preserve">
AE 33406
LEC 5093
</t>
        </r>
      </text>
    </comment>
    <comment ref="L243" authorId="2" shapeId="0" xr:uid="{FC28FAE9-B57B-427C-A3EE-AFDE7AF9B0D6}">
      <text>
        <r>
          <rPr>
            <b/>
            <sz val="9"/>
            <color indexed="81"/>
            <rFont val="Tahoma"/>
            <family val="2"/>
          </rPr>
          <t>Maritza Amado Barrantes:</t>
        </r>
        <r>
          <rPr>
            <sz val="9"/>
            <color indexed="81"/>
            <rFont val="Tahoma"/>
            <family val="2"/>
          </rPr>
          <t xml:space="preserve">
AE: 41682
EC: 8083</t>
        </r>
      </text>
    </comment>
    <comment ref="E246" authorId="1" shapeId="0" xr:uid="{BDCC2048-6B7F-4E60-8003-3E9EF4C9D06C}">
      <text>
        <r>
          <rPr>
            <b/>
            <sz val="9"/>
            <color indexed="81"/>
            <rFont val="Tahoma"/>
            <family val="2"/>
          </rPr>
          <t>MARAMA:</t>
        </r>
        <r>
          <rPr>
            <sz val="9"/>
            <color indexed="81"/>
            <rFont val="Tahoma"/>
            <family val="2"/>
          </rPr>
          <t xml:space="preserve">
1. CREA 12 DE OCTUBRE 
2. CREA CANTARRANA
3. CREA LA CAMPIÑA
4. CREA LA GRANJA
5. CREA LA PEPITA
6. CREA LAS DELICIAS
8. CREA LAS FLORES 
9. CREA NARANJOS 
10. CREA RAFAEL URIBE URIBE
11. CREA SAN JOSÉ 
12. CREA SAN PABLO 
13. CREA SANTA SOFÍA
14. CREA SUBA CENTRO
15. CREA VILLAS DEL DORADO
15.  CREA VILLEMAR
</t>
        </r>
      </text>
    </comment>
    <comment ref="F246" authorId="1" shapeId="0" xr:uid="{E7876CEC-88C2-4265-A84A-52EA182F97FF}">
      <text>
        <r>
          <rPr>
            <b/>
            <sz val="9"/>
            <color indexed="81"/>
            <rFont val="Tahoma"/>
            <family val="2"/>
          </rPr>
          <t>MARAMA:</t>
        </r>
        <r>
          <rPr>
            <sz val="9"/>
            <color indexed="81"/>
            <rFont val="Tahoma"/>
            <family val="2"/>
          </rPr>
          <t xml:space="preserve">
1. CREA 12 DE OCTUBRE 
2. CREA CANTARRANA
3. CREA CASTILLA 
4. CREA LA CAMPIÑA
5. CREA LA GRANJA
6. CREA LA PEPITA
7. CREA LAS DELICIAS
8. CREA LAS FLORES 
9. CREA LUCERO BAJO
10. CREA MEISSEN 
11. CREA NARANJOS 
12. CREA RAFAEL URIBE URIBE
13. CREA ROMA
14. CREA SAN JOSÉ 
15. CREA SAN PABLO 
16. CREA SANTA SOFÍA
17. CREA SUBA CENTRO
18. CREA VILLAS DEL DORADO
19. CREA VILLEMAR
</t>
        </r>
      </text>
    </comment>
    <comment ref="G246" authorId="1" shapeId="0" xr:uid="{B310E9EE-753C-41FA-9DB0-F7085081A726}">
      <text>
        <r>
          <rPr>
            <b/>
            <sz val="9"/>
            <color indexed="81"/>
            <rFont val="Tahoma"/>
            <family val="2"/>
          </rPr>
          <t>MARAMA:</t>
        </r>
        <r>
          <rPr>
            <sz val="9"/>
            <color indexed="81"/>
            <rFont val="Tahoma"/>
            <family val="2"/>
          </rPr>
          <t xml:space="preserve">
1. CREA 12 DE OCTUBRE 
2. CREA CANTARRANA
3. CREA CASTILLA 
4. CREA LA CAMPIÑA
5. CREA LA GRANJA
6. CREA LA PEPITA
7. CREA LAS DELICIAS
8. CREA LAS FLORES 
9. CREA LUCERO BAJO
10. CREA MEISSEN 
11. CREA NARANJOS 
12. CREA RAFAEL URIBE URIBE
13. CREA ROMA
14. CREA SAN JOSÉ 
15. CREA SAN PABLO 
16. CREA SANTA SOFÍA
17. CREA SUBA CENTRO
18. CREA VILLAS DEL DORADO
19. CREA VILLEMAR
</t>
        </r>
      </text>
    </comment>
    <comment ref="H246" authorId="1" shapeId="0" xr:uid="{870285AA-8823-4BDC-817B-E60ADF3A706C}">
      <text>
        <r>
          <rPr>
            <b/>
            <sz val="9"/>
            <color indexed="81"/>
            <rFont val="Tahoma"/>
            <family val="2"/>
          </rPr>
          <t>MARAMA:</t>
        </r>
        <r>
          <rPr>
            <sz val="9"/>
            <color indexed="81"/>
            <rFont val="Tahoma"/>
            <family val="2"/>
          </rPr>
          <t xml:space="preserve">
1. CREA 12 DE OCTUBRE 
2. CREA CANTARRANA
3. CREA CASTILLA 
4. CREA LA CAMPIÑA
5. CREA LA GRANJA
6. CREA LA PEPITA
7. CREA LAS DELICIAS
8. CREA LAS FLORES 
9. CREA LUCERO BAJO
10. CREA MEISSEN 
11. CREA NARANJOS 
12. CREA RAFAEL URIBE URIBE
13. CREA ROMA
14. CREA SAN JOSÉ 
15. CREA SAN PABLO 
16. CREA SANTA SOFÍA
17. CREA SUBA CENTRO
18. CREA VILLAS DEL DORADO
19. CREA VILLEMAR
</t>
        </r>
      </text>
    </comment>
    <comment ref="I246" authorId="0" shapeId="0" xr:uid="{61252F58-2054-4A83-A1EF-7FDDB31BE891}">
      <text>
        <r>
          <rPr>
            <b/>
            <sz val="9"/>
            <color indexed="81"/>
            <rFont val="Tahoma"/>
            <family val="2"/>
          </rPr>
          <t>JUANA OSORIO:</t>
        </r>
        <r>
          <rPr>
            <sz val="9"/>
            <color indexed="81"/>
            <rFont val="Tahoma"/>
            <family val="2"/>
          </rPr>
          <t xml:space="preserve">
CREA 12 DE OCTUBRE 
CREA CANTARRANA
CREA CASTILLA
CREA LA CAMPIÑA
CREA LA GRANJA
CREA LA PEPITA
CREA LAS DELICIAS
CREA LAS FLORES 
CREA LUCERO BAJO
CREA MEISSEN 
CREA NARANJOS 
CREA RAFAEL URIBE URIBE
CREA ROMA
CREA SAN JOSÉ 
CREA SAN PABLO 
CREA SANTA SOFÍA
CREA SUBA CENTRO
CREA VILLAS DEL DORADO
CREA VILLEMAR</t>
        </r>
      </text>
    </comment>
    <comment ref="J246" authorId="0" shapeId="0" xr:uid="{9776E986-E94B-443D-A87E-08AC3D38A01D}">
      <text>
        <r>
          <rPr>
            <sz val="9"/>
            <color indexed="81"/>
            <rFont val="Tahoma"/>
            <family val="2"/>
          </rPr>
          <t>CREA 12 DE OCTUBRE 
CREA CANTARRANA
CREA CASTILLA
CREA LA CAMPIÑA
CREA LA GRANJA
CREA LA PEPITA
CREA LAS DELICIAS
CREA LAS FLORES 
CREA LUCERO BAJO
CREA MEISSEN 
CREA NARANJOS 
CREA RAFAEL URIBE URIBE
CREA ROMA
CREA SAN JOSÉ 
CREA SAN PABLO 
CREA SANTA SOFÍA
CREA SUBA CENTRO
CREA VILLAS DEL DORADO
CREA VILLEMAR</t>
        </r>
      </text>
    </comment>
    <comment ref="K246" authorId="0" shapeId="0" xr:uid="{84209B33-C6AB-4E02-952B-2A289AC58CEC}">
      <text>
        <r>
          <rPr>
            <sz val="9"/>
            <color indexed="81"/>
            <rFont val="Tahoma"/>
            <family val="2"/>
          </rPr>
          <t>CREA 12 DE OCTUBRE 
CREA CANTARRANA
CREA CASTILLA
CREA LA CAMPIÑA
CREA LA GRANJA
CREA LA PEPITA
CREA LAS DELICIAS
CREA LAS FLORES 
CREA LUCERO BAJO
CREA MEISSEN 
CREA NARANJOS 
CREA RAFAEL URIBE URIBE
CREA ROMA
CREA SAN JOSÉ 
CREA SAN PABLO 
CREA SANTA SOFÍA
CREA SUBA CENTRO
CREA VILLAS DEL DORADO
CREA VILLEMAR</t>
        </r>
      </text>
    </comment>
    <comment ref="L246" authorId="1" shapeId="0" xr:uid="{4681E36D-3751-433D-9963-8E6C6FC52F6B}">
      <text>
        <r>
          <rPr>
            <b/>
            <sz val="9"/>
            <color indexed="81"/>
            <rFont val="Tahoma"/>
            <family val="2"/>
          </rPr>
          <t>MARAMA:</t>
        </r>
        <r>
          <rPr>
            <sz val="9"/>
            <color indexed="81"/>
            <rFont val="Tahoma"/>
            <family val="2"/>
          </rPr>
          <t xml:space="preserve">
1. CREA 12 DE OCTUBRE 
2. CREA CANTARRANA
3. CREA CASTILLA
4. CREA EL PARQUE
5. CREA LA CAMPIÑA
6. CREA LA GRANJA
7. CREA LA PEPITA
8. CREA LAS DELICIAS
9. CREA LAS FLORES 
10. CREA LUCERO BAJO
11. CREA MEISSEN 
12. CREA NARANJOS 
13. CREA RAFAEL URIBE URIBE
14. CREA ROMA
15. CREA SAN JOSÉ 
16. CREA SAN PABLO 
17. CREA SANTA SOFÍA
18. CREA SUBA CENTRO
19. CREA VILLAS DEL DORADO
20. CREA VILLEMAR 
</t>
        </r>
      </text>
    </comment>
    <comment ref="M246" authorId="1" shapeId="0" xr:uid="{42031368-463D-4946-B262-680B144EE970}">
      <text>
        <r>
          <rPr>
            <b/>
            <sz val="9"/>
            <color indexed="81"/>
            <rFont val="Tahoma"/>
            <family val="2"/>
          </rPr>
          <t>MARAMA:</t>
        </r>
        <r>
          <rPr>
            <sz val="9"/>
            <color indexed="81"/>
            <rFont val="Tahoma"/>
            <family val="2"/>
          </rPr>
          <t xml:space="preserve">
1. CREA 12 DE OCTUBRE 
2. CREA CANTARRANA
3. CREA CASTILLA
4. CREA EL PARQUE
5. CREA LA CAMPIÑA
6. CREA LA GRANJA
7. CREA LA PEPITA
8. CREA LAS DELICIAS
9. CREA LAS FLORES 
10. CREA LUCERO BAJO
11. CREA MEISSEN 
12. CREA NARANJOS 
13. CREA RAFAEL URIBE URIBE
14. CREA ROMA
15. CREA SAN JOSÉ 
16. CREA SAN PABLO 
17. CREA SANTA SOFÍA
18. CREA SUBA CENTRO
19. CREA VILLAS DEL DORADO
20. CREA VILLEMAR 
</t>
        </r>
      </text>
    </comment>
    <comment ref="N246" authorId="1" shapeId="0" xr:uid="{A6975332-ADA2-497E-8EE3-B29BF0B92EF3}">
      <text>
        <r>
          <rPr>
            <b/>
            <sz val="9"/>
            <color indexed="81"/>
            <rFont val="Tahoma"/>
            <family val="2"/>
          </rPr>
          <t>MARAMA:</t>
        </r>
        <r>
          <rPr>
            <sz val="9"/>
            <color indexed="81"/>
            <rFont val="Tahoma"/>
            <family val="2"/>
          </rPr>
          <t xml:space="preserve">
1. CREA 12 DE OCTUBRE 
2. CREA CANTARRANA
3. CREA CASTILLA
4. CREA EL PARQUE
5. CREA LA CAMPIÑA
6. CREA LA GRANJA
7. CREA LA PEPITA
8. CREA LAS DELICIAS
9. CREA LAS FLORES 
10. CREA LUCERO BAJO
11. CREA MEISSEN 
12. CREA NARANJOS 
13. CREA RAFAEL URIBE URIBE
14. CREA ROMA
15. CREA SAN JOSÉ 
16. CREA SAN PABLO 
17. CREA SANTA SOFÍA
18. CREA SUBA CENTRO
19. CREA VILLAS DEL DORADO
20. CREA VILLEMAR
</t>
        </r>
      </text>
    </comment>
    <comment ref="O246" authorId="1" shapeId="0" xr:uid="{28CC3D7E-C4E0-45F3-9C49-09B3AA48189F}">
      <text>
        <r>
          <rPr>
            <b/>
            <sz val="9"/>
            <color indexed="81"/>
            <rFont val="Tahoma"/>
            <family val="2"/>
          </rPr>
          <t>MARAMA:</t>
        </r>
        <r>
          <rPr>
            <sz val="9"/>
            <color indexed="81"/>
            <rFont val="Tahoma"/>
            <family val="2"/>
          </rPr>
          <t xml:space="preserve">
1. CREA 12 DE OCTUBRE 
2. CREA CANTARRANA
3. CREA CASTILLA
4. CREA EL PARQUE
5. CREA LA CAMPIÑA
6. CREA LA GRANJA
7. CREA LA PEPITA
8. CREA LAS DELICIAS
9. CREA LAS FLORES 
10. CREA LUCERO BAJO
11. CREA MEISSEN 
12. CREA NARANJOS 
13. CREA RAFAEL URIBE URIBE
14. CREA ROMA
15. CREA SAN JOSÉ 
16. CREA SAN PABLO 
17. CREA SANTA SOFÍA
18. CREA SUBA CENTRO
19. CREA VILLAS DEL DORADO
20. CREA VILLEMAR
</t>
        </r>
      </text>
    </comment>
    <comment ref="E248" authorId="2" shapeId="0" xr:uid="{7B5ACCDD-CF32-4BCC-B26E-1A03E4F24EFC}">
      <text>
        <r>
          <rPr>
            <b/>
            <sz val="9"/>
            <color indexed="81"/>
            <rFont val="Tahoma"/>
            <family val="2"/>
          </rPr>
          <t>Maritza Amado Barrantes:</t>
        </r>
        <r>
          <rPr>
            <sz val="9"/>
            <color indexed="81"/>
            <rFont val="Tahoma"/>
            <family val="2"/>
          </rPr>
          <t xml:space="preserve">
1. CREA 12 DE OCTUBRE 
2. CREA CANTARRANA
3. CREA CASTILLA 
4. CREA EL PARQUE
5. CREA GUSTAVO RESTREPO
6. CREA INGLES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F248" authorId="2" shapeId="0" xr:uid="{7D5E088B-1170-46FE-A1AD-598FB4DAE1D9}">
      <text>
        <r>
          <rPr>
            <b/>
            <sz val="9"/>
            <color indexed="81"/>
            <rFont val="Tahoma"/>
            <family val="2"/>
          </rPr>
          <t>Maritza Amado Barrantes:</t>
        </r>
        <r>
          <rPr>
            <sz val="9"/>
            <color indexed="81"/>
            <rFont val="Tahoma"/>
            <family val="2"/>
          </rPr>
          <t xml:space="preserve">
1. CREA 12 DE OCTUBRE 
2. CREA CANTARRANA
3. CREA CASTILLA 
4. CREA EL PARQUE
5. CREA GUSTAVO RESTREPO
6. CREA INGLES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G248" authorId="2" shapeId="0" xr:uid="{7D9C5223-860C-457A-A9F0-2CA4803546A5}">
      <text>
        <r>
          <rPr>
            <b/>
            <sz val="9"/>
            <color indexed="81"/>
            <rFont val="Tahoma"/>
            <family val="2"/>
          </rPr>
          <t>Maritza Amado Barrantes:</t>
        </r>
        <r>
          <rPr>
            <sz val="9"/>
            <color indexed="81"/>
            <rFont val="Tahoma"/>
            <family val="2"/>
          </rPr>
          <t xml:space="preserve">
1. CREA 12 DE OCTUBRE 
2. CREA CANTARRANA
3. CREA CASTILLA 
4. CREA EL PARQUE
5. CREA GUSTAVO RESTREPO
6. CREA INGLES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H248" authorId="2" shapeId="0" xr:uid="{1BFC264C-AE81-4233-B6FA-AC6733B609F5}">
      <text>
        <r>
          <rPr>
            <b/>
            <sz val="9"/>
            <color indexed="81"/>
            <rFont val="Tahoma"/>
            <family val="2"/>
          </rPr>
          <t>Maritza Amado Barrantes:</t>
        </r>
        <r>
          <rPr>
            <sz val="9"/>
            <color indexed="81"/>
            <rFont val="Tahoma"/>
            <family val="2"/>
          </rPr>
          <t xml:space="preserve">
1. CREA 12 DE OCTUBRE 
2. CREA CANTARRANA
3. CREA CASTILLA 
4. CREA EL PARQUE
5. CREA GUSTAVO RESTREPO
6. CREA INGLES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I248" authorId="2" shapeId="0" xr:uid="{BF841D53-23A9-459C-9EB9-5634E56339B2}">
      <text>
        <r>
          <rPr>
            <b/>
            <sz val="9"/>
            <color indexed="81"/>
            <rFont val="Tahoma"/>
            <family val="2"/>
          </rPr>
          <t>Maritza Amado Barrantes:</t>
        </r>
        <r>
          <rPr>
            <sz val="9"/>
            <color indexed="81"/>
            <rFont val="Tahoma"/>
            <family val="2"/>
          </rPr>
          <t xml:space="preserve">
1. CREA 12 DE OCTUBRE
2. CREA CANTARRANA
3. CREA CASTILLA 
4. CREA EL PARQUE (Bloque Pedagógico)
5. CREA GUSTAVO RESTREPO
6. CREA INGLÉS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J248" authorId="2" shapeId="0" xr:uid="{2955933C-F7EF-4733-AD26-B034449F5201}">
      <text>
        <r>
          <rPr>
            <b/>
            <sz val="9"/>
            <color indexed="81"/>
            <rFont val="Tahoma"/>
            <family val="2"/>
          </rPr>
          <t>Maritza Amado Barrantes:</t>
        </r>
        <r>
          <rPr>
            <sz val="9"/>
            <color indexed="81"/>
            <rFont val="Tahoma"/>
            <family val="2"/>
          </rPr>
          <t xml:space="preserve">
1. CREA 12 DE OCTUBRE
2. CREA CANTARRANA
3. CREA CASTILLA 
4. CREA EL PARQUE (Bloque Pedagógico)
5. CREA GUSTAVO RESTREPO
6. CREA INGLÉS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K248" authorId="2" shapeId="0" xr:uid="{C8101BB1-30A6-430F-8043-7063C7EE3BFC}">
      <text>
        <r>
          <rPr>
            <b/>
            <sz val="9"/>
            <color indexed="81"/>
            <rFont val="Tahoma"/>
            <family val="2"/>
          </rPr>
          <t>Maritza Amado Barrantes:</t>
        </r>
        <r>
          <rPr>
            <sz val="9"/>
            <color indexed="81"/>
            <rFont val="Tahoma"/>
            <family val="2"/>
          </rPr>
          <t xml:space="preserve">
1. CREA 12 DE OCTUBRE
2. CREA CANTARRANA
3. CREA CASTILLA 
4. CREA EL PARQUE (Bloque Pedagógico)
5. CREA GUSTAVO RESTREPO
6. CREA INGLÉS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 ref="L248" authorId="2" shapeId="0" xr:uid="{34068297-A07C-4223-BC64-5F5DBB092599}">
      <text>
        <r>
          <rPr>
            <b/>
            <sz val="9"/>
            <color indexed="81"/>
            <rFont val="Tahoma"/>
            <family val="2"/>
          </rPr>
          <t>Maritza Amado Barrantes:</t>
        </r>
        <r>
          <rPr>
            <sz val="9"/>
            <color indexed="81"/>
            <rFont val="Tahoma"/>
            <family val="2"/>
          </rPr>
          <t xml:space="preserve">
1. CREA 12 DE OCTUBRE
2. CREA CANTARRANA
3. CREA CASTILLA 
4. CREA EL PARQUE (Bloque Pedagógico)
5. CREA GUSTAVO RESTREPO
6. CREA INGLÉS
7. CREA LA CAMPIÑA
8. CREA LA GRANJA
9. CREA LA PEPITA
10. CREA LAS DELICIAS
11. CREA LAS FLORES 
12. CREA LUCERO BAJO
13. CREA MEISSEN 
14. CREA NARANJOS 
15. CREA ROMA
16. CREA SAN PABLO 
17. CREA SANTA SOFÍA
18. CREA SUBA CENTRO
19. CREA VILLAS DEL DORADO
20. CREA VILLEMAR
</t>
        </r>
      </text>
    </comment>
  </commentList>
</comments>
</file>

<file path=xl/sharedStrings.xml><?xml version="1.0" encoding="utf-8"?>
<sst xmlns="http://schemas.openxmlformats.org/spreadsheetml/2006/main" count="1044" uniqueCount="226">
  <si>
    <t>PROYECTO</t>
  </si>
  <si>
    <t>META 2019 BMpT</t>
  </si>
  <si>
    <t>ÁREA/Programa</t>
  </si>
  <si>
    <t># iniciativas artísticas a través de estímulos</t>
  </si>
  <si>
    <t>AVANCES Y LOGROS</t>
  </si>
  <si>
    <t xml:space="preserve">RETRASOS Y SOLUCIONES </t>
  </si>
  <si>
    <t>Comportamiento 2016</t>
  </si>
  <si>
    <t>Comportamiento 2017</t>
  </si>
  <si>
    <t>Comportamiento 2018</t>
  </si>
  <si>
    <t>enero</t>
  </si>
  <si>
    <t>febrero</t>
  </si>
  <si>
    <t>marzo</t>
  </si>
  <si>
    <t>abril</t>
  </si>
  <si>
    <t>mayo</t>
  </si>
  <si>
    <t>junio</t>
  </si>
  <si>
    <t>julio</t>
  </si>
  <si>
    <t>agosto</t>
  </si>
  <si>
    <t>septiembre</t>
  </si>
  <si>
    <t>octubre</t>
  </si>
  <si>
    <t>noviembre</t>
  </si>
  <si>
    <t>diciembre</t>
  </si>
  <si>
    <t>TOTAL</t>
  </si>
  <si>
    <t>% Ejecución</t>
  </si>
  <si>
    <t xml:space="preserve">1000 - Fomento a las prácticas artísticas en todas sus dimensiones. </t>
  </si>
  <si>
    <r>
      <t>Apoyar e impulsar 980</t>
    </r>
    <r>
      <rPr>
        <sz val="10"/>
        <color rgb="FFFF0000"/>
        <rFont val="Calibri"/>
        <family val="2"/>
      </rPr>
      <t xml:space="preserve"> </t>
    </r>
    <r>
      <rPr>
        <sz val="10"/>
        <color rgb="FF000000"/>
        <rFont val="Calibri"/>
        <family val="2"/>
      </rPr>
      <t xml:space="preserve">iniciativas artísticas a través de estímulos. </t>
    </r>
  </si>
  <si>
    <t>Convocatorias (Estímulos)</t>
  </si>
  <si>
    <t xml:space="preserve">Durante los tres trimestres del año  IDARTES ha desarrollado las siguientes acciones que han permitido apoyar 896 iniciativas a través del PDE: 
La entidad realizó la revisión de los resultados obtenidos en el desarrollo del PDE 2018 como insumo para la planeación 2019. Así mismo, elaboró una estrategia de comunicaciones del Programa PDE, que se desarrolló en dos sentidos: 1. Realización de las jornadas informativas: que contó con la participación de 929 personas, este resultado, obedece a la estrategia de difusión y a la gestión realizada del área por ampliar el número de intervenciones y al fortalecimiento de  la agenda temática de las socializaciones. 2. Interacción en Redes Sociales: se realizaron 10 sesiones de Facebook Live para las áreas de la entidad. Se destaca el alcance de la primera transmisión que llegó a más de 28.000 personas y cerca de 250 personas conectadas simultáneamente,  y 15.000 reproducciones.
En lo corrido hasta el tercer trimestre del 2019, el PDE ofertó 139 Convocatorias, distribuidas así: 44 se concentran en Interdisciplinar y Transdisciplinar, 15 Arte dramático, 21 Artes plásticas y Visuales, 16 Artes audiovisuales, 11 Danza, 8 Literatura y 24 Música. Se registraron 5.739 personas inscritas en las convocatorias del portafolio distrital de estímulos del Idartes, frente a la distribución porcentual de los inscritos a tercer trimestre  se encuentra que el 21% en Artes Plásticas y Visuales, el 22% en Música,  22% en el área de Interdisciplinar, el 11%, se concentra en Artes Audiovisuales; el 11% en Literatura, 7% en el área Arte Dramático y 5% Danza. Respecto a la revisión, se realizó la verificación 5.739  propuestas inscritas. Al corte del presente informe, se habilitaron a septiembre 4.100 propuestas, que representa el 71% en relación con las propuestas inscritas que terminaron el proceso de verificación hasta el presente trimestre. Se rechazaron el 23% de las propuestas.
En lo acumulado hasta el tercer trimestre del año, el Idartes entregó 493 estímulos a los participantes ganadores del Portafolio Distrital de Estímulos. El total de recursos entregados fue de $5.362.971.968, correspondientes a las áreas de: Arte dramático  $430.000.000, Artes plásticas y visuales$1.059.621.614, Audiovisuales $463.000.000, Danza $ 466.715.000, Interdisciplinar/Transdisciplinar $ 2.251.651.570, Literatura $ 87.711.886 y Música  $ 604.271.898.
Respecto al desarrollo del Banco de Jurados para el PDE 2019, se realizó apoyo al proceso de evaluación y deliberación de propuestas por medio del aplicativo de Jurados SISCRED, también, verificó las actas y las observaciones. Hasta el tercer trimestre del 2019, se designaron 403 jurados que recibieron un reconocimiento económico por su labor; en total fueron entregados de $ 922.517.650 para este propósito: Arte Dramático $ 114.311.740, Artes Plásticas  $ 137.532.000, Danza  $ 90.439.300, Interdisciplinar/ Transdisciplinar  $175.467.200, Literatura $ 106.040.000, y  Música  $ 138.139.200.
</t>
  </si>
  <si>
    <t xml:space="preserve">Durante este periodo el Portafolio Distrital de Estímulos ha registrado un crecimiento importante en el número de propuestas inscritas, lo cual afectó la dinámica de las verificaciones en la medida que se generaron cuellos de botella en algunos procesos. Por otra parte, en relación con el módulo de jurados, se presentaron dificultades técnicas que conllevaron en algunos a la necesidad de modificar las fechas previstas para las deliberaciones de los jurados; adicionalmente, las modificaciones en el procedimiento sugeridas por la Oficina Asesora Jurídica, se generaron cambios importantes en las actividades asociadas al procedimiento y algunos conflictos con las unidades de gestión.
Frente a las situaciones expuestas, el Área de Convocatorias modificó el procedimiento de jurados y socializó este cambio en una reunión general con las diferentes unidades de gestión con el fin de aclarar las razones que justificaban los cambios. Por otra parte, con el fin de revisar algunas eventualidades que se presentaron durante el primer semestre del año, el Área de Convocatorias ha programado una serie de jornadas con las diferentes unidades de gestión para optimizar el manejo de la plataforma de jurados y reforzar el conocimiento del procedimiento asociado. 
Por otra parte, se presentaron algunas dificultades relacionadas con la disponibilidad de recursos para realizar los reconocimientos económicos de los jurados designados en las convocatorias Beca CKWEB para la creación de programas de radio comunitaria, Residencia Plataforma Bogotá - Medialab Prado (Madrid), Beca de Investigación sobre la Imagen en Movimiento y Premio Nacional de Largometraje Ciudad de Bogotá. Esta incidencia se presentó al no realizar un adecuado seguimiento al agotamiento de los respectivos CDP que amparaban los recursos, por lo que se hizo necesario proyectar actos administrativos adicionales para corregir las inconsistencias
</t>
  </si>
  <si>
    <t>Convocatorias (Jurados)</t>
  </si>
  <si>
    <t xml:space="preserve">Subtotal </t>
  </si>
  <si>
    <t># apoyos a organizaciones a través de mecanismos de fomento</t>
  </si>
  <si>
    <t>Otorgar 60 apoyos a organizaciones a través de mecanismos de fomento: apoyos concertados, apoyos metropolitanos y alianzas sectoriales.</t>
  </si>
  <si>
    <t>Sub. Artes</t>
  </si>
  <si>
    <t xml:space="preserve">El Programa Distrital de Apoyos Concertados – PDAC tiene como objetivo fortalecer procesos y proyectos del arte, la cultura y el patrimonio mediante convocatorias públicas en las que participan entidades sin ánimo de lucro de reconocida idoneidad y trayectoria. A corte del tercer trimestre del año se han otorgado en total 74 apoyos a organizaciones. 
Bajo tres modalidades de ejecución se gestionan los apoyos a organizaciones, mediante Convocatoria abierta, Convocatoria cerrada y Programa Salas Concertadas. En el marco de la Convocatoria abierta, se apoyan propuestas que deben originarse por organizaciones del sector y ser de interés público con o sin trayectoria en la vida cultural de la ciudad; a través de la Convocatoria cerrada se apoyan eventos culturales de orden metropolitano y alianzas estratégicas, en particular aquellos que cuentan con declaratoria de actividad de interés cultural por el Concejo de Bogotá. Por último, el Programa Salas Concertadas, que obedeciendo a las directrices de la Secretaría Distrital de Cultura, Recreación y Deporte y a lo dispuesto en el Decreto 092 de 2017, asignó los recursos mediante convocatoria pública específica para el sector de arte dramático de la ciudad. 
Para el tercer trimestre se tiene programada una inversión de  $ 6.629.265.636  de los cuales $ 2.541.397.636 corresponde a la convocatoria cerrada, $ 2.106.868.000 corresponde a la convocatoria abierta y $1.981.000.000 referidos al Programa Distrital de Salas Concertadas. Al finalizar el tercer trimestre, se encuentran en ejecución $ 6.583.665.636 millones, lo cual corresponde al 99,3%  frente al total programado para la vigencia.
En el marco de la modalidad de convocatoria cerrada, se ha gestionado 7 apoyos metropolitanos: 1. Cámara Colombiana del Libro por $660.000.000 (en el marco de la FILBO) 2. Museo de Arte Moderno de Bogotá – MAMBO $ 513.701.398. 3 y 4 Cámara de Comercio de Bogotá (con relación los programa ARTBO y Bogotá Music Market – BoMM) $ 436.058.868  5. Fondo Mixto de Promoción Cinematográfica Proimágenes  para el Bogotá Audiovisual Market – BAM por $ 69.138.302. 6 Tchyminigagua “XXX FAICP Festival Artístico Internacional Invasion de Cultura Popular (con relación al Carnaval de la Alegría, 30 años de sueños, realidades y transformacion social),  y 7 Fundación Cultural Colombia Negra (con pre-producción y realización del Encuentro Internacional de Expresión Negra 2019) Frente a la convocatoria abierta se han apoyado 34 organizaciones del sector por un valor de $1.914.000.000. Respecto al Programa de Salas Concertadas, se seleccionaron 33 de 38 propuestas inscritas, se recibieron 33 proyectos a los que se les asignaron recursos a través del Comité de Fomento de la SDCRD mediante el acta Nº 25 de mayo de 2019. A la fecha de este reporte, se han suscrito 33 contratos con 29 organizaciones. 
</t>
  </si>
  <si>
    <t>Para el tercer trimestre de 2019, no se reportan retrasos para el cumplimiento de la meta.</t>
  </si>
  <si>
    <t>G. Arte Dramático</t>
  </si>
  <si>
    <t>G. Artes Audiovisuales</t>
  </si>
  <si>
    <t>G. Artes Plásticas y Visuales</t>
  </si>
  <si>
    <t>G. Danza</t>
  </si>
  <si>
    <t>G. Literatura</t>
  </si>
  <si>
    <t>G. Música</t>
  </si>
  <si>
    <t>Otros</t>
  </si>
  <si>
    <t>Subtotal</t>
  </si>
  <si>
    <t>ÁREA</t>
  </si>
  <si>
    <t>relación de actividades desarrolladas con el presupuesto asignado al PSC</t>
  </si>
  <si>
    <r>
      <t>Incrementar en</t>
    </r>
    <r>
      <rPr>
        <b/>
        <sz val="10"/>
        <color rgb="FF000000"/>
        <rFont val="Calibri"/>
        <family val="2"/>
      </rPr>
      <t xml:space="preserve"> 5% </t>
    </r>
    <r>
      <rPr>
        <sz val="10"/>
        <color rgb="FF000000"/>
        <rFont val="Calibri"/>
        <family val="2"/>
      </rPr>
      <t>el presupuesto asignado al Programa Salas Concertadas - PSC.</t>
    </r>
  </si>
  <si>
    <t>Arte Dramático</t>
  </si>
  <si>
    <t xml:space="preserve">El Programa Distrital de Salas Concertadas – PDSC- es una estrategia para el fomento de las prácticas artísticas del campo del arte dramático, dirigido al fortalecimiento de las salas adscritas a entidades sin ánimo de lucro (ESAL) con programación permanente para la circulación de las artes escénicas, a través del apoyo a sus proyectos artísticos, culturales y de gestión. Para el tercer trimestre de 2019, se evidencia el incremento del 5% al presupuesto asignado al Programa Salas Concertadas – PSC para la vigencia 2019, tiene programado $1.981.000.000, al corte de septiembre 2019, se encuentra en ejecución el 100% de los recursos asignados al PDSC.
Este presupuesto se distribuye así: a) Bolsa concursable de la convocatoria 2019 ($1.600.000.000), que se incrementó un 6,66% con respecto a la cifra que para la misma actividad frente a la vigencia anterior ($1.500.000.000). b) Jurados que harán la evaluación de las propuestas, y c) Acciones de Formación. Frente al primer rubro, se ha avanzado en la convocatoria del programa que se abrió el día 1 de febrero de 2019, la cual fue socializada a través de una  jornada informativa presencial en donde participaron 50 personas. Por otro lado, se difundió a través de medios virtuales, como boletines y noticias publicados en las páginas de la entidad y medios especializados como Kiosko Teatral, la fanpage del FTB entre otros. Igualmente, se realizó el envío masivo de correos a las bases de datos del sector teatral. Cerró el día 25 de febrero con un total de 38 propuestas inscritas y al final del proceso se distribuyó la bolsa entre 33 proyectos, la adjudicación de los recursos fue avalada en el Comité de Fomento de la SDCRD mediante el acta Nº 25 del 14 de mayo de 2019.
A partir de la asignación de recursos, la gerencia de Arte Dramático procedió a la realización 33 reuniones de concertación y ajuste de los proyectos con los representantes legales, o sus delegados, de 29 organizaciones distintas, así como a la revisión y solicitud de actualización de los documentos necesarios para la solicitud de elaboración del contrato a la Oficina Asesora Jurídica. A la fecha de este reporte y en el marco de la convocatoria, se ha suscrito la totalidad de los (33) contratos de interés público (CIP) los cuales se relacionan a continuación: Asociación Cultural Hilos Mágicos, Corporación Colombiana De Teatro, Fundación Cultural Teatro Experimental Fontibón – Tef, Fundación L'Explose, Fundación de Títeres y Teatro Libélula Dorada, Asociación Cultural Teatridanza, Fundación Teatro Nacional y sus tres sedes (Casa del Teatro, Teatro Fanny Mikey y La Castellana), Teatro La Candelaria, Corporación para el desarrollo y difusión del arte y la cultura popular Coddiarcupop, Asociación Cultural Teatrova, Teatro R 101, Fundación Centro Cultural Gabriel García Márquez, Fundación Teatro Libre de Bogotá – sede chapinero y sede centro, Fundación Teatro Estudio Calarcá Tecal, Corporación Cultural Tercer Acto, Fundación La Maldita Vanidad Teatro, Círculo Colombiano de Artistas, Fundación Ernesto Aronna, Fundación Teatro Taller de Colombia, Corporación Producciones La Ventana, Asociación Cultural Ensamblaje Teatro Comunidad, Corporación de Teatro y Cultura Acto Latino, Fundación Cultural El Contrabajo, Corporación Cultural Teatro Estudio Alcaraván, Corporación de Teatro Producciones El Mimo, Fundación de Teatro Ditirambo – sede Palermo y sede Galerías, Corporación Barraca, Fundación Jaime Manzur para las Artes Escénicas, Club de Teatro Experimental Café La Mama. Todos los contratos se encuentran en ejecución y su vigencia se extiende hasta el 29 de noviembre del presente año
Frente a las acciones de formación, se contrató el apoyo a la gestión 1229 suscrito con la Fundación Púrpura, para el desarrollo de un diplomado en escenotecnicas y producción para técnicos teatrales, se realizaron reuniones con el contratista en las que se revisaron temas como obligaciones contractuales, alcances de las mismas, así como diseño del curso, perfiles de los maestros, cronograma, entre otros. Se realizó la selección de los participantes, por medio de la revisión de los perfiles postulados a participar. Se recibieron 39 inscripciones, de las cuales 2 se inhabilitaron por no cumplir con la documentación solicitada. Teniendo como criterios la trayectoria en los aspectos técnicos de la puesta en escena y la motivación del participante, se seleccionaron 25 participantes para iniciar el proceso de formación. El diplomado se  desarrolló del 20 de mayo al 30 de julio, con un total de 130 horas, llevados a cabo en las instalaciones de la Academia de Artes Guerrero situada en la localidad de Teusaquillo, fueron de gran aceptación por el gremio teatral y se contó con una asistencia total de 87 personas.
Por otro lado, se desarrolló el seminario sobre públicos para teatro para la organización y ejecución de actividades de formación y emprendimiento que promuevan la asociatividad entre los agentes del sector. El seminario se realizó los días 11, 12 y 13 de septiembre en la remodelada sala concertada de la Fundación Teatro Taller de Colombia de la localidad de La Candelaria y, además de ser un espacio de carácter académico, contó con la realización de muestras artísticas. En las jornadas académicas del seminario participaron 30 ponentes entre invitados internacionales, nacionales y distritales, dos intervenciones artísticas y una proyección de clips audiovisuales para motivar la conversación.
</t>
  </si>
  <si>
    <t xml:space="preserve">% de implementación o %  de manteniemiento de la ruta de seguimiento y evaluación </t>
  </si>
  <si>
    <t>Programación 2017</t>
  </si>
  <si>
    <t>Implementar y mantener una 1 ruta de seguimiento y evaluación a las iniciativas apoyadas.</t>
  </si>
  <si>
    <t>Sub. Artes (Convocatorias)</t>
  </si>
  <si>
    <t xml:space="preserve">Hasta el tercer trimestre de 2019, en cumplimiento de la meta “Implementar y mantener una 1 ruta de seguimiento y evaluación a las iniciativas apoyadas”, la Subdirección de las Artes desde el Área de Convocatorias, desarrolló  la ruta de seguimiento a los ganadores de los estímulos a través de un procedimiento el cual contiene actividades, responsables, tiempos y formatos relacionados con la ruta que deben seguir los profesionales responsables del Idartes para hacer seguimiento al desarrollo de las propuestas ganadoras del PDE. Las herramientas diseñadas que hacen parte del procedimiento garantizan su trazabilidad, a través del reporte de reuniones, visitas, actividades, responsables, población beneficiada, caracterización poblacional, localidades donde se realizan los eventos, impacto, avances en el cronograma entre otros. Documento que ha sido socializado y mejorado por las observaciones realizadas por las diferentes unidades de gestión.
De igual manera, se estructuró un formato de reporte de las convocatorias que registran ganadores. En este informe se evidencian las variables del proceso de inscripción y evaluación de las propuestas, al igual que la retroalimentación del profesional del Área de Convocatorias responsable del portafolio de las áreas artísticas del portafolio. Este reporte se publicará en la intranet de la entidad (comunicarte.idartes.gov.co), y se enviará por correo electrónico a las Unidades de Gestión.  
Por otra parte, el área de convocatorias sistematizó y entregó a las Unidades de Gestión respectivas, el seguimiento de la evaluación de jurados utilizando como fuente el formato de observaciones de los jurados (2MI-GFPA-F-40), que contiene en términos generales la descripción realizada por la terna de jurados a cada convocatoria, a través del cual se evalúan dos aspectos: la estructura de las propuestas y los criterios de evaluación, finalizando con las posibles mejoras que se podrían realizar al proceso y a la respectiva convocatoria.
Durante el mes de junio se generó una propuesta de tableros de control para realizar el seguimiento y la generación de propuestas a las diferentes áreas para cual estamos unificando Bases de datos de los años 2016, 2017, 2018 y 2019 con la cual se generan boletines para las diferentes gerencias. 
Como un aspecto adicional a la ruta de seguimiento institucional, se están generando esfuerzos para la consolidación de un módulo de seguimiento que hace parte de la plataforma sectorial del P.D.E., durante el segundo trimestre del año se realizaron dos reuniones en las cuales se revisó la estructura general de la propuesta presentada por la Secretaría de Cultura, Recreación y Deporte. Por otra parte, en las reuniones de la Mesa Sectorial de Fomento de los meses de abril y mayo se verificaron los requerimientos técnicos sectoriales para dar inicio a la construcción del módulo, Posteriormente, a partir del mes de junio la SCRD ha iniciado el proceso de diseño del módulo de seguimiento a partir de los requerimientos recogidos en las diferentes reuniones realizadas con este fin y se ha proyectado que se realicen las primeras pruebas durante el último trimestre del año. En relación con estas actividades, el porcentaje de avance de este módulo corresponde al quince 15%.
</t>
  </si>
  <si>
    <t xml:space="preserve"># nuevos equipamientos culturales </t>
  </si>
  <si>
    <t xml:space="preserve">
1010 - Construcción y sostenimiento de la infraestructura para las Artes</t>
  </si>
  <si>
    <t>Construir y dotar 2 equipamientos culturales en el Distrito Capital en alianza con otras entidades y el sector privado.</t>
  </si>
  <si>
    <t>Gerencia de Artes Audiovisuales
(Cinemateca)</t>
  </si>
  <si>
    <t xml:space="preserve">La ciudad cuenta con dos nuevos equipamientos culturales destinados a las artes audiovisuales y plásticas. 1. Nueva Cinemateca de Bogotá inaugurada el 12 y 13 de junio de 2019 compuesta de dos fases: Construcción (100%): Concluyó la instalación de acabados en paredes y pisos de las salas de cine, instalaciones de todos los sistemas básicos y especiales del edificio. luminarias, cámaras de seguridad, puertas, rejas, pasamanos, barandas, cielos falsos fijos y registrables, los acabados en madera, las terrazas, cubiertas y la instalación de pisos.  2. Dotación (89%): Se concluyó con en el cableado de la infraestructura audiovisual, las estructuras de soporte para pantalla y sonido de las salas de cine 2, 3 y 4, la objetoteca, mediateca, salones y talleres. Se instaló la silletería de salas No.1, 2 y 4. Se recibió la tercera entrega de equipos y elementos de dotación tecnológica especializada de las salas de cine, y el componente de integración de los sistemas audiovisuales. Se adjudicaron los 5 lotes del proceso que adelantó la ERU con cargo a los recursos de la Alta consejería Distrital de TIC que hacen parte del Convenio 295-2014. Se adjudicó el proceso contractual para la dotación y la silletería retráctil de la sala multifuncional. Se cuenta con la resolución de usos de la Cinemateca, y un modelo de alianzas para gestionar los alquileres de sus espacios comerciales. 
2. La Galería Santa Fe fue inaugurada el 26 de junio de 2019. Con un área aproximada de 1.200 m2, 760 mt2 están dispuestos para exposiciones y los demás en áreas administrativa, depósito, máquinas, cargue y descargue. Avanza en sus tres fases así: 1. Construcción (100%): finalizó en 2017, la galería está construida civilmente, fachada, muros internos y pisos terminados. 2. Adecuación (97%) cubre los ítems: estructuras metálicas, mampostería, instalaciones hidrosanitarias, eléctricas, pañetes, alistados y acabados de piso, carpintería metálica, enchapes y recubrimientos, cielos rasos, divisiones y fachadas, pintura, cerraduras, y aseo y limpieza, para su ejecución se suscribió convenio con el IDPC. Está pendiente la maniobra de energización prevista para mediados del mes de octubre de 2019 en desarrollo del contrato con Codensa.  3. Dotación (93,4%) Se fabricó e instaló: mobiliario para el área administrativa, estantería para el Centro de documentación, sistema de iluminación museográfica, En el trimestre anterior se realizó capacitación para su manejo y automatización, se recibió la plataforma elevadora de montaje e instalación de fachadas y puertas metálicas del depósito de la zona de cargue y descargue. Actualmente se surte el proceso de compra de equipos Audiovisuales para la dotación de la Galería. 
</t>
  </si>
  <si>
    <t>Cinemateca no informa retrasos. Por su parte la Galería Santa Fe, describe que las demoras continúan asociadas con las obras de conexión de la red de media tensión para el edificio. El convenio  para tal efecto fue prorrogado en el mes de julio por dos meses y el 17 de septiembre por otro mes quedando ahora con fecha de finalización el 17 de octubre de 2019, para garantizar que las organizaciones involucradas en el proceso (IDPC-Constructor IPES contratante de CODENSA-Idartes-Galería Santa Fe) adelanten los trámites ante el operador de red para finalizar con la maniobra de energización de la subestación.</t>
  </si>
  <si>
    <t>Gerencia de Artes Plásticas
(Galería Santafe)</t>
  </si>
  <si>
    <t># de equipamientos  adecuados, dotados y mantenimientos</t>
  </si>
  <si>
    <t xml:space="preserve"> Ejecución
</t>
  </si>
  <si>
    <t>Realizar adecuación, dotación y mantenimiento en 11 de los equipamientos culturales y sedes a cargo del IDARTES.</t>
  </si>
  <si>
    <t>Sub. Adtiva y Financiera</t>
  </si>
  <si>
    <t xml:space="preserve">Con corte a 3er Trimestre de 2019, se adelantaron labores de adecuación y mantenimiento en 10 de 11 equipamientos y sedes a cargo de la entidad: 1. En la sede principal se realizó mejoramiento del fluido eléctrico, reparación de fugas de agua, de los extractores de las baterías sanitarias, mobiliario e instalación de puntos de red, manteamiento y mejoramiento de luminarias del edificio. 2. Teatro Jorge Eliecer Gaitán: Actualización y renovación de los camerinos, baños, y redes hidráulicas, sanitarias, eléctricas y acabados, el mejoramiento del Sistema de Iluminación Led y de los sistemas de ventilación y extracción de olores en los baños. 3.  En el Teatro al Aire libre la Media Torta reemplazo de cubierta, cambio del sistema hidráulico de aguas lluvias, renovación del circuito cerrado de televisión y el mejoramiento del sistema de iluminación LED exterior. 4. En el Teatro San Jorge se realizó la adjudicación del contrato para la construcción de la sobrecubierta, a su vez el contrato para la interventoría técnica de la cubierta. 5. En la Casa de la Jurisprudencia – Plataforma Bogotá se realizaron obras de resane, pintura de paredes, mejoramiento de las baterías sanitarias, mantenimiento de vigas, retoques de columnas de madera y bajantes metálicas del patio central, adecuación del bastidor del cuarto de equipos para instalar servidor de CKWEB e Instalación de una toma eléctrica. 6. En el Teatro el parque, fueron corregidas goteras en el escenario-sector centro, mejoramiento de iluminación, arreglo de las baterías sanitarias y del sistema de aguas negras. 7.  Casona de la Danza se realizó adecuación y mantenimiento en los salones de danza, cocina, bodega, cafetería y tanques de agua. 8. Escenario móvil: Realizado el mantenimiento periódico (limpieza) al escenario y al equipo de amplificación de sonido. 9. Bloque pedagógico se adelantó la instalación de un ventilador en el área de danza y reparación de cerraduras. 10.  Planetario de Bogotá: Mantenimiento y pintura de piso de terraza y de las paredes internas, se realizaron acciones de mejoramiento del sistema de iluminación LED, redes hidráulicas y la instalación de software, la configuración de los servidores y del sistema de seguridad perimetral. 11. Sala Gaitán – Antigua Cinemateca están pendientes reparaciones locativas para ponerla al servicio de la ciudadanía. </t>
  </si>
  <si>
    <t>Para el primer semestre de 2019, no se reportan retrasos para el cumplimiento de la meta.</t>
  </si>
  <si>
    <t xml:space="preserve">#  aplicativos puestos en producción </t>
  </si>
  <si>
    <t>Poner en producción 1 aplicativos de apoyo a la gestión administrativa y misional de la entidad.</t>
  </si>
  <si>
    <t>Para el 2019 realizará el aplicativo referido al Sistema de Información Misional IDARTES_ Aplicativo OAP, el cual contará con el desarrollo de 5 módulos cuenta con un avance del 72% correspondiente al funcionamiento de: 1. Administrador (10%) Gestión de usuarios, gestión de módulos, gestión de actividades, gestión de permisos, gestión de roles y reportes de auditoria; 2. Plan de desarrollo (20%): con las acciones de gestión de administración de plan de desarrollo, creación de contenedores y elementos, creación de elementos tipo meta e indicador, reporte visualización en forma de grafos, nodos y excel. 3. Plan Estratégico (20%): Creación de contenedores y elementos, creación de elementos tipo meta e indicador, reporte visualización en forma de grafos, nodos y excel. 4. Presupuestal (11%)  Se cuenta con el documento de requerimientos, los desarrollos están programados para el mes de junio. 5. Proyectos de Inversión (11%) Se cuenta con el documento de requerimientos, los desarrollos están programados para el mes de junio.  Otras acciones referidas a la  gestión de las TIC en el Idartes, se encuentra el desarrollo y continuidad de aplicativos y soluciones tecnológicas para la mejora administrativa del Idartes, tales como: MÓDULO ALMACÉN: Se realiza los ajustes solicitados por la SAF y OAJ, reemplazando las firmas escaneadas por acepto, se habilita la opción si y no para los estados del paz y salvo, cuenta con un estado de avance de 92%. Módulo de filmaciones plataforma PUFA – SUMA: desarrollo módulo de filmación plataforma PUFA – SUMA y webservices para integración e implementación del trámite e integración con ORFEO 70%. MÓDULO DE PAZ Y SALVO, se crea la funcionalidad para que el usuario supervisor pueda actualizar datos del usuario que solicita el paz y salvo, datos como la fecha inicio y fin de contrato. Se genera de forma automática el formato de paz y salvo en PDF, cuenta con un estado de avance del 95%.</t>
  </si>
  <si>
    <t># de canales presenciales y virtuales (...) implementados</t>
  </si>
  <si>
    <t>998 - Fortalecimiento de la gestión institucional, comunicaciones  y servicio al ciudadano</t>
  </si>
  <si>
    <t xml:space="preserve">Mantener 6 canales de atención al ciudadano en funcionamiento para el trámite y respuesta a los requerimientos ciudadanos. </t>
  </si>
  <si>
    <t>Oficina de Atención al ciudadano</t>
  </si>
  <si>
    <t>Para el 3er Trimestre de 2019 el Idartes puso a disposición de la ciudadanía 6 canales de atención que ha mantenido en operación, en procura de fortalecer la lucha anticorrupción y la transparencia en cada una de las actividades realizadas. Una administración de cara a la ciudadanía, comunicando de manera oportuna los requerimientos, propiciando un dialogo transparente, fue la meta trazada, por lo que se dispone de los canales presencial, escrito, email, buzón de sugerencias, teléfono y chat. Se resalta el avance en la ampliación de la red de puntos de contacto con la ciudadanía contando a la fecha con tres puntos de atención, ubicados en la sede principal, centro de formación CREA castilla ubicado en la localidad de Kennedy, y un tercer punto de atención que se ubica en la Nueva Cinemateca de Bogotá. Los resultados del primer semestre de 2019 evidencia que se atendieron 19.992 solicitudes de trámite ciudadanas, los cuales 3.028 fueron derechos de petición y 16.964 corresponden a atenciones inmediatas que se brindan, telefónica, presencial y virtualmente. En concordancia con el trabajo colaborativo y herramientas informáticas, se  logró adaptar de forma exitosa al proceso de Servicio a la Ciudadanía en la gestión, trámite, respuesta y seguimiento a los requerimientos ciudadanos de la entidad, actualmente la herramienta está estructurada de tal forma que los funcionarios del área de atención a la Ciudadanía desde cualquier locación, ingresen forma inductiva, los requerimientos ciudadanos, los cuales llegan a un repositorio de información para hacer parte de una base de datos que cuenta con procesos internos de formulación y validación, distribuidos estratégicamente por roles, permisos y etapas del proceso, facilitando así la comprensión de la misma, mejorando considerablemente la calidad de la información trabajada y permitiendo la mejora en la gestión, a su vez que exista un seguimiento riguroso y exhaustivo por parte de todos y cada uno de los servidores públicos que intervienen dentro de esta labor. La gestión de la Oficina le permitió a la entidad ocupar tercer lugar dentro de una medición a 29 entidades distritales que evaluó la calidad en la prestación del servicio a través de los diferentes canales con el propósito de aumentar la confianza de la ciudadanía.</t>
  </si>
  <si>
    <t>Esta meta no presenta retrasos para el tercer trimestre de 2019</t>
  </si>
  <si>
    <t>#  usuarios en redes sociales alcanzados</t>
  </si>
  <si>
    <t>Alcanzar 1.720.000 de usuarios en redes sociales.</t>
  </si>
  <si>
    <t>Área  de Comunicaciones</t>
  </si>
  <si>
    <t>Para el 3er Trimestre de 2019 el Instituto Distrital de las Artes, ha registrado un total 1.847.213 usuarios en redes sociales, el detalle evidencia que la red social Facebook registra 1.160.092 seguidores, en Twitter 434.273 seguidores, en Instagram 245.595 y finalmente en Youtube 7.253 seguidores, esto en términos del cumplimiento de la meta para le vigencia evidencia un cumplimiento de 107.4%. La entidad, en este primer semestre del año, evidenció un crecimiento constante  en su número total de seguidores gracias al desarrollo de las comunicaciones orientadas al  Programa Distrital de Estímulos, apertura Nueva Cinemateca de Bogotá, un lugar para vivir en el tiempo, Rock al Parque 25 años de orgullo estridente, Apertura Nueva Galería Santafé, X Premio Luis Caballero, 	III Seminario internacional de Cultura y Arte para la Transformación Social, Donna Haraway que alcanzó más de 35.000 interesados en el evento de Facebook, Alteratro – Festival de jóvenes creadores. Para alcanzar estos resultados se crearon parillas de publicación para redes sociales específicamente para estos hitos en mencionados anteriormente, con los temas más importantes de la apertura de los  escenarios y de los festivales apoyado con un plan de pauta que amplió el alcance y posicionamiento de estos temas en el entorno digital de la entidad, en total durante el año 2019, la entidad ha conseguido obtener seguidores nuevos, un aumento significativo si se tiene en cuenta que para enero de este mismo año la entidad contaba con 11.688 seguidores nuevos en sus redes sociales, se destaca también el alcance de los Facebook Live para las áreas de Música, Arte dramático, Artes Plásticas, Arte, ciencia y tecnología y Nidos entre otras. Así como una sesión general del Programa Distrital de Estímulos y una específica del Banco de Jurados. En razón a ello, el alcance de la primera transmisión llegó a más de 28.000 personas y se conectaron cerca de 250 personas de manera simultánea. Por otro lado, con la implementación de un nuevo formato de video El Vlog del Idartes en el que se presentan temas o resultados de la entidad en un formato diferente, espontaneo y ágil en el que gerentes, coordinadores de área o subdirectores del Idartes hablan sobre temas específicos, se generó mejores alcances.</t>
  </si>
  <si>
    <t># de apariciones (…) logradas</t>
  </si>
  <si>
    <t xml:space="preserve">Lograr 3.500 apariciones de la entidad en medios de comunicación. </t>
  </si>
  <si>
    <t>Para el 3er Trimestre del año 2019 el Instituto Distrital de las Artes, alcanzó 6634 apariciones en medios de comunicación, se realizaron estrategias de comunicaciones para El Teatro Jorge Eliecer Gaitán, el Portafolio Distrital de Estímulos, Colombia al Parque, Jazz al Parque, Programación de Cinemateca, Pícnic Literario y los 50 años del Planetario de Bogotá, apertura Nueva Cinemateca de Bogotá, Apertura Nueva Galería Santafé y los 25 años de Rock al Parque, dentro de las estrategias desarrolladas se destaca  el envío de correos masivos con piezas de comunicación, comunicados de la entidad, y la realización de free press con medios tradicionales y On line, se gestionaron ruedas de prensa , gira de medios con la directora Juliana Restrepo, alianzas con algunos periódicos con el fin de escribir artículos desde la Entidad, además se  contempló fortalecer la difusión de los eventos más pequeños de la Entidad, como complemento a las actividades tradicionales. 
Para procurar mayor claridad de la gestión a la ciudadanía, la entidad suscribió, el contrato 1129 de 2019 con la empresa de Mediciones y Medios S.A.S, con el fin de realizar el servicio de monitoreo de medios lo que ha permitido que el Instituto entregue valores más precisos de la gestión realizada, incluyendo aproximaciones económicas del ahorro que se logra gracias al free press, el tipo de contenidos que más se asocian a la Entidad, y datos más cercanos de la labor que hace el equipo de periodistas, los resultados más representativos evidencia que asociado a los eventos como Rock al Parque 25 años, se registraron 425 noticias en las que fue mencionado  el Instituto Distrital de las Artes, Canal Capital, con 20 noticias, fue el medio con mayor número de registros, Eltiempo.com, con $512.424 millones, fue el soporte que generó mayor valorización y El Espectador  tuvo la audiencia más representativa, con  49 millones de impactos, sumado a lo anterior la suma de audiencias con todos los medios de comunicación fue de 150.382,2 y se generaron 71 noticas con impacto positivo en el que se tuvo una audiencia de 26.657 ciudadanos.</t>
  </si>
  <si>
    <t>% de implementación del SIG alcanzado</t>
  </si>
  <si>
    <t>Gestionar el 100% del plan de adecuación y sostenibilidad del SIGD - MIPG</t>
  </si>
  <si>
    <t>Oficina Asesora de Planeación</t>
  </si>
  <si>
    <t>27.78%</t>
  </si>
  <si>
    <t xml:space="preserve">En el 3er trimestre de la vigencia 2019, el Idartes en desarrollo de la meta de porcentaje de ejecución del Plan de Adecuación y Sostenibilidad SIGD-MIPG en las entidades distritales ha alcanzado avanzar en un 71 % de los compromisos definidos por la entidad a través de dicho plan, evidenciado ejecutorias en las siguientes dimensiones del MIPG: 1. GESTIÓN DEL TALENTO HUMANO: Se han ejecutado (4) de las (7) actividades planteadas, lo que corresponde al 75% de avance, el cual corresponde a la implementación de una acción innovadora en el marco del desarrollo de los programas de bienestar e incentivos, la implementación de una encuesta de percepción de los valores y el código de integridad, abrir espacios participativos que permitan recoger ideas para la implementación del Código de Integridad y actividades de sensibilización en temas de integridad en los espacios de la entidad. 2. DIRECCIONAMIENTO ESTRATÉGICO INSTITUCIONAL: Se ha avanzado en el desarrollo de las siguientes acciones: Facilitar la participación de los equipos de trabajo de la comunidad institucional en el ejercicio de planeación institucional, realización de un inventario de investigaciones financiadas por el Idartes entre 2011 y 2018 2011 y 2018 y avance en el desarrollo del Sistema de Información de Planeación Institucional - Pandora,  3. GESTIÓN CON VALORES PARA RESULTADOS: Avance del 65,7% con progreso en las siguientes acciones: construcción de la política de Gobierno digital con la publicación del PETIC, y  virtualización del trámite de uso temporal de los equipamientos culturales.  4. INFORMACIÓN Y COMUNICACIÓN: Esta dimensión presenta un avance del 88% asociada con la formulación de la política de Gestión Documental. 5. CONTROL INTERNO: El avance se ubica en el 66.5% representada por un avance en a la actividad de acompañamiento y suscripción de mapas de riesgo 2019 y realización de autoevaluaciones en las diferentes unidades de gestión. 6. GESTIÓN DEL CONOCIMIENTO: Reporta un avance del 33%, asociada a la conformación de un grupo de Gestores del conocimiento que promueve las actividades, prácticas y proyectos en materia de innovación y gestión del conocimiento.   Este plan permite contar con un sistema de gestión con mayor madurez que facilita la garantía de los derechos y la prestación de servicios para los usuarios externos. </t>
  </si>
  <si>
    <t># acciones de formación ara fortalecer la organización, el  emprendimiento y la empleabilidad del sector de las artes y oficios afines.</t>
  </si>
  <si>
    <t>Programación</t>
  </si>
  <si>
    <t>985 - Emprendimiento artístico y empleo del artista.</t>
  </si>
  <si>
    <t>Alcanzar 11 acciones de  formación para fortalecer la organización, el  emprendimiento y la empleabilidad del sector de las artes y oficios afines.</t>
  </si>
  <si>
    <t>Dirección
(Elsa Botero)</t>
  </si>
  <si>
    <t xml:space="preserve"> Hasta el tercer trimestre de la vigencia 2019, el Instituto Distrital de las Artes en desarrollo de la meta de “Alcanzar 9 acciones de formación para fortalecer la organización, el emprendimiento y la empleabilidad del sector de las artes y oficios afines”, ha desarrollado  11  acciones específicas a saber. 
1. Foro de Participación en Mercados de las Industrias Culturales y Creativas espacio en el que se presentaron experiencias de expertos y participantes en ruedas de negocios y ferias de las industrias culturales y donde se realizó el lanzamiento de la primera etapa de la  Beca de participación de mercados de las industrias culturales y creativas del Idartes, desarrollado el 26 de febrero del año en curso contando la participación de 117 personas, y con un total de 9 conferencistas, 2 moderadores y 3 invitados de diferentes instituciones. 
2. Cursos PRESENCIALES en localidades “Arte, Cultura y Acción” es un programa dirigido a personas y organizaciones que desarrollaran proyectos en el ámbito del arte y la cultura, con el fin de fortalecer sus capacidades de gestión cultural. El programa está basado en la cartilla “Arte, Cultura y Acción” herramienta pedagógica desarrollada y publicada por el Idartes y la Universidad Nacional, cuyo objetivo es fortalecer procesos de emprendimiento cultural en las diferentes localidades de la ciudad Se definió para la versión del programa en 2019, la realización de dos (2) cursos en la modalidad presencial Los talleres se impartieron todos los miércoles iniciando el 15 de mayo y finalizando el 26 de junio de 2019, así: Jornada 1. Jornada de inspiración. Definición y alcance del proyecto. (3 horas) mayo 15, jornada 2. Cadena de valor y formulación de proyectos. Módulo 1 y 2. (3 horas) mayo 22, Jornada 3. Gestión de marketing.Módulo 3 (3 horas) Mayo 29, Jornada 4. Gestión de servicios. Módulo 4 (3 horas) junio 5, Jornada 5. Gestión financiera. Herramienta de costeo. Módulo 5 (3 horas) junio 12, Jornada 6. Gestión financiera para el emprendimiento, Costos y gastos, proyección financiera, y punto de equilibrio. Módulo 5 y módulo 6. (3 horas) junio 19, Jornada 7. Innovación en modelo: Construcción del canvas y prototipado, identificación de eslabones que generan innovación. (3 horas) junio 26. Sumado a lo anterior se realiza un segundo curso de modalidad presencial a partir del 28 de agosto de 2019 con 30 proyectos distintos en la Universidad Pedagógica Nacional. 
3. Filbo emprende 2019 es una iniciativa que busca fortalecer emprendimientos nacientes de la industria editorial a través de una agenda de actividades de formación intensiva que se realiza durante la Feria Internacional del Libro de Bogotá, la convocatoria para participar en FILBo Emprende 2019 estuvo abierta del 25 de febrero al 22 de marzo, de las 50 propuestas presentadas, se seleccionaron 26 de Bogotá y 4 de otras ciudades del país, 17 proyectos de los proyectos se encuentran en el eslabón de “Producción”, 10 en el eslabón de “Comercialización y circulación”, y 3 en el eslabón de “Servicios al sector editorial”, 14 emprendimientos confirmaron su participación y así lo hicieron durante la Feria con muy buenos resultados y aprendizajes del trabajo colaborativo.  Adicionalmente, los participantes pudieron hacer parte de la agenda académica y participar con charlas de sus proyectos.
4. Foro DC en Vivo 2019 es una iniciativa de la Alcaldía de Bogotá cuyo objetivo es fortalecer, dinamizar y articular la escena de música en vivo de la ciudad, centrándose específicamente en los Escenarios de Música en Vivo - EMV como agentes clave para la circulación de los proyectos musicales locales y la relación con los públicos, la segunda versión del Foro DC en Vivo se realizó el día lunes 13 de mayo de 2019 en las instalaciones de la Cámara de Comercio, sede Salitre y se contó con un total de 86 inscripciones y un total de 36 asistentes al evento. El evento también fue transmitido a través de streaming por la plataforma de Facebook de DC en Vivo, el foro contó con dos paneles, “diálogos sobre la historia de la música en vivo en Bogotá”, con la participación de Mónica Martínez (periodista musical), Mao Loading (BAUM), Diego Gómez (Llorona Records) y Pepe Plata (periodista) como moderador y panel “en el corazón de tu barrio”, en donde se habló de los EMV como agentes de desarrollo en su comunidad y participaron Alix Lesmes (Latino Power), Óscar López (Canterbury), Jair León (Galería Café Libro), Alberth Piñeros (La K-Zona) y Gareth Gordon, Gerente de Música del Idartes como moderador, además de la charla “soy un Escenario de Música en Vivo - EMV”, en donde se habló acerca de la estrategia de posicionamiento de la marca EMV, y la realización del taller “para qué asociarse y cómo dar pasos para la acción colectiva”, dirigido a Escenarios de Música en Vivo - EMV, liderado por la invitada internacional Carmen Zapata.En el marco de esta misma iniciativa se realizó el conversatorio “ Mujeres en la industria musical” el día 14 de mayo de 2019.
Por otro lado, se están llevando a cabo las acciones de planeación para realizar el foro pulsaciones el cual tiene como temática el análisis del avance en políticas públicas para el sector musical en Bogotá en torno a temas como la información, circulación, organización y regulación, el cual se espera desarrollar en el mes de noviembre. 
5. Beca de fortalecimiento a empresas de las industrias culturales y creativas su objetivo es fortalecer empresas de las industrias culturales y creativas de la ciudad de Bogotá a través de proyectos que impacten positivamente su estructura organizacional o les permitan desarrollar nuevas líneas de producción o nuevos servicios, las inscripciones de esta beca estuvieron abiertas desde el 8 de febrero hasta el 22 de abril. Se recibieron el total 62 propuestas, de las cuales 42 propuestas fueron habilitadas para evaluación, el 4 de junio se realizó la deliberación en la cual el jurado recomendó el otorgamiento del estímulo a las seis (6) propuestas relacionadas a continuación: (1) Biche Musical S.A.S. con el proyecto fortalecimiento interno Biche Musical SAS por valor de $10,225,000, (2) Corporación Clepsidra con el proyecto  Rugido Latino por valor de $10,000,000, (3) Corporación Producciones la Ventana con el proyecto estrategia de fortalecimiento organizacional la Ventana por valor de $8,925,000, (4) Fundación Aves Colombianas con el proyecto fiesta de las aves por valor de $14,600,000, (5) Casa Reflector S.A.S con el proyecto Casa Reflector 2019: experiencias educativas digitales y recorridos teatralizados por valor de  $10,000,000 y (6) Fundación Arteficial con el proyecto Perifoneo por valor de $6,250,000, actualmente se encuentra en proceso de ejecución de la beca y además todas las organizaciones han hecho entrega de los informes parciales de ejecución de sus propuestas.
Por otro lado, se lanzó el premio al trabajo destacado de Gestores Culturales, Premio a Organizaciones o Empresas Artísticas y/o culturales y Premio a la innovación de organizaciones o empresas artísticas y culturales con el objeto de reconocer la labor destacada de gestores culturales que han contribuido significativamente al desarrollo de sectores artísticos en Bogotá, en total se otorgaran 10 estímulos en total se otorgaran $ 130.000.000 y actualmente la convocatoria se encuentra en etapa de inscripciones. 
6. La Incubadora de Industrias Culturales y Creativas 2019 es un proceso de formación y fortalecimiento para proyectos de las industrias culturales y creativas en etapas tempranas de implementación, a través de ciclos de 3 meses, se realizan sesiones de talleres presenciales facilitados por expertos en diversos temas, entre los que se encuentran: análisis de tendencias del mercado, modelo de negocio, habilidades personales y de equipo, propuesta de valor, finanzas y comunicaciones. Se definió para el año 2019 la realización de dos (2) ciclos de formación y se proyectó beneficiar hasta quince (15) proyectos por ciclo, se contempló para cada ciclo, la realización de seis (6) talleres, mentorías personalizadas y dos (2) actividades de networking, a la fecha se desarrolló el primer ciclo de actividades a partir del 25 de abril y hasta el 8 de julio, se desarrollaron 14 actividades. Por su parte, el segundo ciclo inicio el 21 de agosto y tiene actividades programadas hasta el 14 de noviembre. 
7. Cursos VIRTUALES Arte, cultura y acción programa que está dirigido a personas y organizaciones que desarrollaran proyectos en el ámbito del arte y la cultura, con el fin de fortalecer sus capacidades de gestión cultural y que no pueden desplazarse a un lugar físico para tomar el curso, por temas de tiempo o desplazamiento Se definió para la versión del programa en 2019, cuatro (4) cursos virtuales que se realizan en el transcurso del año, se recibieron 136 inscripciones, de los cuales se seleccionaron 35 proyectos, el cronograma inicio el 14 de mayo y a la fecha se han desarrollado los tres (3) primeros cursos virtuales con la siguiente participación: Virtual 1: 146 inscritos de los cuales se seleccionaron 50 participantes, Virtual 2: 98 inscritos de los cuales se seleccionaron 50 participantes.  Virtual 3: 56 inscritos de los cuales se seleccionaron 55 participantes. Para el cuarto y último curso virtual de Arte, Cultura y Acción 2019 se inscribieron 53 propuestas de las cuales se seleccionaron 52. De este curso se han desarrollado a la fecha los primeros dos talleres.
8. Proceso de Fortalecimiento “Arte, Cultura y Acción” talleres que permiten a los participantes identificar una problemática o necesidad puntual de mejora para sus emprendimientos, definir un plan de acción para abordarla y trabajar en la implementación del plan de acción durante un periodo determinado con el apoyo de un acompañamiento personalizado de expertos, cuenta con tres etapas: Convocatoria y selección de proyectos, Maratón e Implementación del plan de acción y proceso de acompañamiento personalizado; se seleccionaron 20 proyectos, el proceso inicio con la actividad maratón  los días 6,7 y 8 de junio, actualmente, de los proyectos participantes en la maratón, 18 finalizaron su plan de acción y los sistematizaron, estos son los proyectos que hacen parte del seguimiento y acompañamiento en el desarrollo de sus planes de acción. Se programaron 5 paquetes de asesorías mensuales. El proceso de acompañamiento ha sido muy satisfactorio considerando el reto que implica para los diferentes grupos participantes la coordinación del equipo de trabajo y la estructuración en términos presupuestales. Hasta la fecha se han realizado 3 paquetes de asesorías y el cuarto se encuentra en curso.
9. Cursos virtuales de portafolios artísticos es una herramienta para la difusión de producciones artísticas a través del desarrollo de  diversas acciones para fortalecer las capacidades de los artistas buscando la creación de portafolios de calidad, como estrategia para la divulgación de este material, se definió publicar a manera de serie web, un (1) video por semana en la página del Idartes y la página de YouTube, este video va además acompañado de su respectivo documento de apoyo, las publicaciones iniciaron en el mes de marzo apoyadas por una campaña de difusión a través de redes sociales, a la fecha se encuentran subidos a las plataformas mencionadas anteriormente, la totalidad  de los 12 capítulos que conforman la serie.
10. Cursos de Derechos de Autor curso desarrollado con la Dirección Nacional de Derechos de Autor y la Cámara de Comercio enfocado en la realización de charlas sobre derechos de autor para las diferentes industrias culturales, con una oferta de conferencia en el 1 y 2 semestre de la vigencia, en temas como: Industria Audiovisual, Artes Escénicas: teatro, danza, circo, Industria Editorial, artes plásticas, las galerías de arte y graffiti, Industria Musical Derecho de Autor en la Industria Audiovisual y  para artistas del Hip Hop, a la fecha se han desarrollado la totalidad de las conferencias (10) y contando con más de 300 participantes. 
11. Taller Artes Escénicas Emprende - Taller intensivo de movilidad para las artes escénicas iniciativa que incluye dos componentes , en primer lugar actividades para el sector de artes escénicas que busca fortalecer proyectos de las artes escénicas (danza, circo, teatro y afines) a través de una agenda que incluyó un taller intensivo con invitado internacional, así como visitas a escenarios y espacios de teatro y danza, la agenda de actividades se desarrolló del día 21 al 24 agosto de 2019 con  la participación de 25 personas. Por otro lado el segundo componente se encuentra relacionado con un ciclo de charlas sobre mercados culturales para las artes escénicas desarrollado en el mes de agosto con la participación del maestro Octavio Arbeláez, fueron 4 distintas charlas realizadas en distintos espacios como el Teatro Jorge Eliecer Gaitán, la Cinemateca Distrital de Bogotá, Crea las Delicias y la Universidad Jorge Tadeo Lozano, y que contó con la asistencia de 133 personas.  
</t>
  </si>
  <si>
    <t>No se registran retrasos en la meta del proyecto.</t>
  </si>
  <si>
    <t># acciones de participación y articulación en/con redes, mercados, plataformas, bolsas de empleo, directorios, y espacios de circulación.​</t>
  </si>
  <si>
    <t>Realizar 8 acciones de participación y articulación en/con redes, mercados, plataformas, bolsas de empleo, directorios, y espacios de circulación.​</t>
  </si>
  <si>
    <t xml:space="preserve">Durante los tres primeros trimestres de la vigencia 2019 el Instituto Distrital de las Artes en cumplimiento de la meta de “Realizar 8 acciones de participación y articulación en/con redes, mercados, plataformas, bolsas de empleo, directorios, y espacios de circulación” ha desarrollado las 9 acciones de participación que se relacionan a continuación: 
1. Participación en rueda de negocios y eventos de las industrias culturales y creativas organizados por embajadas y entidades internacionales en Bogotá  se han realizado dos acciones específicas la primera de ellas a través de la embajada de Canadá se organizó una rueda de negocios de las industrias culturales y creativas, para la cual invitó a diferentes áreas del Idartes a participar.  En esta rueda se dieron cita empresas canadienses con programadores o entidades locales.  La gerencia de Artes Audiovisuales - Cinemateca, la Gerencia de Música y el Planetario de Bogotá participaron en las reuniones.  Adicionalmente, hubo un evento de networking en el Museo Nacional y se participó en una agenda de conferencias y relacionamiento donde se conocieron mejor las acciones de Canadá en los temas de industrias culturales y creativas, este evento se desarrolló los días 14 y 15 de febrero del año en curso en la sede de la Emabajada de Canada. Por otra parte en el marco de la primera misión del Reino Unido a Colombia sobre industrias creativas realizada entr el 10 y el 13 de junio el British Council organizó una visita de una delegación del Reino Unido de personas relacionadas con las industrias culturales a Colombia, llevando a cabo diferentes actividades para su relacionamiento con agentes del sector en Bogotá.  El Idartes fue invitado a participar en algunas de ellas, se participó en las diferentes actividades y se mantuvieron reuniones especialmente en el tema de música, que era el tema de interés de algunos invitados.
2. Participación en FICCI 2019 – Festival Internacional de Cine de Cartagena es un espacio cultural cinematográfico de carácter internacional que se lleva a cabo desde el año 1959 en Cartagena de Indias, Colombia. El festival se celebró en 2019 del 6 al 11 de marzo y tuvo en su repertorio 140 películas de 36 países.  El Idartes participó en este festival con la Cinemateca Distrital, como espacio de la industria audiovisual para promocionar a Bogotá como destino audiovisual y generar relacionamiento.  Este año la participación se materializó con la realización de un encuentro de relacionamiento en el marco de la agenda del FICCI que se organizó de la mano con Invest in Bogotá y Cámara de Comercio de Bogotá.  Adicionalmente, se contó con un espacio de conferencia donde se realizó un panel abierto al público para explicar las diferentes iniciativas que se desarrollan actualmente como son la Comisión Fílmica y la nueva Cinemateca de Bogotá.   Finalmente, se contó con un espacio donde la Gerencia Audiovisual del Idartes presentó el último libro de Cine Colombiano.
3. Directorio de Industrias Culturales y Creativas es una iniciativa del Idartes, que a través de la página web,  proporciona información sobre servicios y espacios culturales de los sectores audiovisual, música, artes escénicas, editorial y artes plásticas. El portal incluye toda la información de la Comisión Fílmica de Bogotá como agente clave del sector audiovisual de Bogotá, incluyendo su directorio de locaciones, calendario fílmico e información sobre el permiso unificado.  Este directorio facilita el contacto entre los agentes de las industrias culturales, buscando promover y fortalecer las relaciones comerciales de quienes hacen parte del sector creativo. En el último trimestre del 2018 se abrieron las inscripciones del directorio y cerraron el 31 de enero de 2019 con más de 1200 inscritos.   Actualmente el directorio está al aire y se realizan revisiones semanales de nuevos inscritos de la mano con la Comisión Fílmica de Bogotá, quienes se encargan de la revisión de las inscripciones en el área audiovisual.   El directorio se puede consultar en www.directorioicc.gov.co
4. Rueda de Negocios DC en Vivo 2019 es una iniciativa cuyo objetivo es fortalecer, dinamizar y articular la escena de música en vivo de Bogotá, centrándose específicamente en los Escenarios de Música en Vivo - EMV como agentes clave para la circulación de los proyectos musicales locales y la relación con los públicos. La rueda de negocios DC en Vivo es uno de los componentes más importantes del programa, la cual cuenta con un aliado para su realización, el BOmm - Bogotá Music Market de la Cámara de Comercio de Bogotá.  Durante un día se dan encuentro artistas y Escenarios de Música en Vivo - EMV locales para realizar citas rápidas con el objetivo de generar oportunidades de negocio.  Para realizar esto, se hace una invitación a artistas participantes en el año anterior en el BOmm y a los ganadores de becas del Idartes, así como a diferentes EMV de la ciudad. se realizó la tercera versión de la Rueda de Negocios DC en Vivo.  Durante el segundo trimestre de 2019, se realizó la selección de participantes, quienes, a través de una plataforma de agendamiento, iniciaron la generación de citas de manera previa al evento, la rueda se llevó a cabo el 14 de mayo en las instalaciones de la sede Salitre de la Cámara de Comercio de Bogotá. En esta rueda participaron 39 EMV en calidad de compradores, 68 proyectos musicales en calidad de vendedores y en total se realizaron 482 reuniones. Contó además con la realización de dos Showcases los días 13 y 14 de mayo respectivamente.
5. BOmm - Bogotá Music Market es un mercado que se realiza durante 4 días donde hay showcases, agenda académica, rueda de negocios nacional y rueda de negocios internacional.  Todas estas actividades conllevan un proceso previo de convocatoria e invitación de agentes nacionales e internacionales de la música. Esto hace parte de una estrategia que se viene dando desde años anteriores de fortalecer y acompañar este importante mercado de la música que se realiza en la ciudad de Bogotá, las actividades se desarrollaron a través del contrato de interés público 1305 de 2019 con la Cámara de Comercio de Bogotá, entre el 9 y 13 de septiembre de 2019. El día 9 fue la inauguración.  El día 10 de septiembre se realizaron showcases y agenda académica.   El día, rueda de negocios nacional y rueda de negocios internacional.  El día 11 y 12 se llevaron a cabo las ruedas de negocio y el día 11 el encuentro de la industria de la música organizado por el cluster de música.
6. Emprendedores con el Arte al Parque este proceso permite fortalecer las competencias de los participantes para ofrecer sus productos en espacios comerciales como ferias y festivales, al mismo tiempo que genera una selección objetiva de aquellos que contarán efectivamente con uno de los espacios en estas zonas de los Festivales al Parque. Emprendedores con el Arte - Al Parque, se desarrolla en 5 fases: inscripción, preselección, fortalecimiento, invitación y muestra comercial. A finales del mes de febrero de 2019 se abrieron las inscripciones al programa para este año y cerraron el 31 de marzo con 101 seleccionados, las capacitaciones que hacen parte del proceso se realizaron de la mano de la Secretaría de Desarrollo Económico con los siguientes talleres  impartidos a tres grupos de trabajo: Encuentro de coworking y casos de éxito en el programa “Emprendedores con el arte”;  Marketing Digital, la nueva vitrina comercial  (casos específicos); y  ¿Cómo aumentar tus ventas utilizando internet?, Una vez completados los talleres, se procedió a realizar la selección de emprendedores a participar con un stand en Rock al Parque, de aquellos que hubiesen asistido a todas las sesiones.  Se seleccionaron 29 emprendimientos quienes participaron con su stand en los 25 años de Rock al Parque, de esta misma manera se seleccionaron 9 emprendimientos para el festival Colombia al Parque realizado el 31 de agosto y 1 de septiembre.  Para Jazz al Parque se seleccionaron 9 emprendimientos más 1 de la Secretaría de Desarrollo Económico, festival realizado el 14 y 15 de septiembre.   Para Hip Hop al Parque se seleccionaron 16 emprendimientos, festival a realizarse el 5 y 6 de octubre.
7. Beca de participación en mercados de las industrias culturales y creativas como parte del Programa Distrital de Estímulos cuyo objetivo es apoyar la generación de oportunidades de negocio de los diferentes agentes de las industrias culturales y creativas de Bogotá, a través de su participación en plataformas comerciales como mercados, ruedas de negocio, showcases (muestras en vivo) o ferias comerciales de carácter nacional o internacional, la beca se desarrolla en tres etapas, la primera cerro el 15 de marzo y contó con 10 propuestas habilitadas de las cuales el día 24 de abril fueron seleccionadas 5 propuestas, la segunda etapa cerro el 17 de mayo de 2019 con 9 propuestas inscritas y 3 habilitadas, actualmente se encuentran en proceso de evaluación por parte de los jurados, finalmente la tercera etapa contó con 12 propuestas habilitadas de las cuales se otorgaron estímulos a 8 propuestas.
Los ganadores de la primera etapa han ejecutado sus proyectos y entregado a la entidad el informe final de ejecución, en cuanto a los ganadores de la segunda y tercera etapa se encuentran en etapa de  ejecución y remisión de informes de ejecución ante la entidad. En total los recursos otorgados en las tres etapas corresponden a $108.800.000.
8. Plataforma de Portafolios artísticos es una iniciativa que busca proporcionar un espacio para visibilizar el trabajo y trayectoria de artistas de diferentes sectores de las industrias culturales y creativas de la ciudad.  En este espacio se encuentran portafolios de artistas de música, arte dramático, danza, artes plásticas y artes audiviosuales,  www.portafoliosartisticos.gov.co. Se definió que esta plataforma sería utilizada para visibilizar artistas ganadores del Portafolio Distrital de Estímulos para la Cultura, teniendo en cuenta que estos artistas han sido curados por un jurado, se envió un correo masivo a los ganadores de estímulos del Idartes de acuerdo con las bases de datos suministradas por el área de convocatorias, invitando a los ganadores a inscribirse en la plataforma y, semanalmente, se está haciendo la revisión y publicación de inscritos
9. Mapas- Mercado de Artes Performáticas del Atlántico Sur es el primer mercado profesional para el encuentro entre los creadores de artes escénicas en vivo –música, teatro, danza, circo y artes de calle– de Latinoamérica, África y sur de Europa y los responsables de programación –de teatros, espacios culturales, festivales y otros eventos venidos de todo el mundo Como parte de las estrategias de la línea, se generaron acciones para 8 agentes bogotanos de las artes escénicas: música, teatro y danza a participar en las ruedas de negocio de MAPAS 2019, se llevó a cabo del 10 al 14 de julio en Tenerife, España, se seleccionaron 8 para ser beneficiarios de la estrategia de acompañamiento a su participación.  Los agentes seleccionados para asistir fueron: Diana Burco, Comma Colombia, Millenium Music &amp; Entertainment, Loa Productora, La CongregaciónTeatro (Teatro), Exilia2 Teatro (Teatro), Fundación L'Explose (Danza) y La Quinta del Lobo (Danza), en total se desarrollaron un total de 156 citas por medio de la plataforma y 54 citas logradas de manera informal
</t>
  </si>
  <si>
    <t xml:space="preserve">No se registran retrasos en la meta del proyecto. </t>
  </si>
  <si>
    <t># estudios investigaciones o sistematización de experiencias relacionadas con las cadenas de valor de las industrias culturales y creativas.</t>
  </si>
  <si>
    <t>Generar 1 estudio, investigacion o sistematización de experiencias relacionadas con las cadenas de valor de las industrias culturales y creativas.</t>
  </si>
  <si>
    <t xml:space="preserve">Durante los tres primeros trimestres de la vigencia 2019 el Instituto Distrital de las Artes en cumplimiento de la meta de “Generar 1 estudio, investigaciones o sistematización de experiencias relacionadas con las cadenas de valor de las industrias culturales y creativas”  se encuentra en desarrollo del censo de Música en Vivo para el Programa DC en Vivo, 
Articulado al  componente de investigación de la línea de Emprendimiento e Industrias Culturales y Creativas, Para 2019, y dando continuidad al proceso de investigación realizado en las vigencias 2017 y 2018, se desarrolla el primer Censo de Música en Vivo de la ciudad de Bogotá. El censo busca contribuir en la medición de la escena de música en vivo de la ciudad y conocer su impacto social, cultural y económico; además, busca revelar algunos de los principales desafíos que enfrenta el sector, para proporcionar información relevante en la construcción de política pública. Así mismo, parte del trabajo desarrollado por la Alcaldía, para seguir posicionando a Bogotá como una Ciudad Creativa de la Música de la UNESCO. Como base, en el censo se parte del trabajo realizado con los formularios de 2018 y se realizaron sesiones de trabajo  junto con la Gerencia de Música y el equipo designado de la Secretaría de Cultura, que definieron  los formularios definitivos para el censo que se está aplicando  en 2019. 
A la fecha se firmó  el proceso de contratación que lleva  a cabo el censo, y se definió un cronograma de trabajo en donde se asguro que el trabajo de campo y levantamiento de información se realizó entre agosto y septiembre de 2019. Las fases, actividades y productos relacionados con el proyecto, incluidos los formularios que se aplican, en este caso para EMV, músicos y público, son: Etapa 1. Preparación del censo: Se inició el proceso de contratación, cuyo estado actual es firma de la minuta. Así mismo se definió un cronograma de trabajo acordándose que el trabajo de campo y levantamiento de información se llevó  a cabo en los meses de agosto y septiembre de 2019, etapa 2. Trabajo de campo, etapa 3. Crítica, digitación, georreferenciación y procesamiento de la información, etapa 4. Procesamiento y análisis de bases de datos del programa DC en Vivo 2018, etapa 5. Productos y socialización Componente transversal. Estrategia de divulgación. Se dio inicio la etapa número dos del censo en donde se definieron lo formularios de ciudadanos, de músicos y de Escenarios de Música en Vivo - EMV. Así mismo, se procedió a colgar dichos formularios en la plataforma de e-encuesta y se concretó toda la estrategia de comunicaciones que salió al aire el día 15 de agosto de 2019. Para complementar el trabajo realizado desde el equipo de comunicaciones del censo, también se realizaron una serie de reuniones con organizaciones relacionadas con la música para solicitarles apoyo en la divulgación del censo. Así mismo, se realizó la distribución del material promocional en distintos puntos clave en la ciudad para dar a conocer el censo a toda la ciudadanía. El plazo máximo para diligenciar las encuestas fue el 30 de septiembre de 2019. Después de esta fecha, se procederá a trabajar con las etapas 4 y 5 respectivamente.  La siguientes son las cifras definitivas del número de respuestas que se logró obtener: Ciudadanos = 1.329 Músicos = 979  y EMV = 44
</t>
  </si>
  <si>
    <t># iniciativas de territorios culturales, clústers o circuitos artísticos.</t>
  </si>
  <si>
    <t>Fortalecer 1 iniciativa de territorios culturales, clústers o circuitos artísticos.</t>
  </si>
  <si>
    <t># localidades con oferta ampliada</t>
  </si>
  <si>
    <t>999 - Gestión, aprovechamiento económico, sostenibilidad y mejoramiento de equipamientos culturales.</t>
  </si>
  <si>
    <t>Ampliar a 13 localidades la oferta frecuente de bienes y servicios de la red de equipamientos culturales.</t>
  </si>
  <si>
    <t>ESCENARIO MÓVIL</t>
  </si>
  <si>
    <t>-</t>
  </si>
  <si>
    <t xml:space="preserve">
Debido a la dinámica de la administración distrital, durante el primer mes y medio se adelantó la contratación de los equipos administrativos y técnicos de los escenarios (los encargados de gestionar, planear, programar y producir las actividades), en consecuencia, la programación en cada escenario inició en la medida en que el equipo estuviera vinculado formalmente, lo cual, naturalmente el cumplimiento de esta meta.  Un escenario que aporta notablemente a esta meta es el Escenario Móvil, que tuvo una gran dificultad para comenzar su gestión, debido a que la unidad móvil requiere de un vehículo para circular por la ciudad y la revisión técnico-mecánica del mismo no se había efectuado por parte de la Subdirección Administrativa y Financiera – SAF- el proceso contractual para llevar a cabo la revisión tuvo demoras y en consecuencia empezar a desarrollar la programación del escenario tardó hasta el mes de mayo. Centrados en la necesidad de iniciar la gestión, la Subdirección de Equipamientos Culturales apoyó a la SAF con acciones precontractuales requeridas, como cotizaciones, e hizo seguimiento permanente al estado del proceso hasta lograr poner en funcionamiento el escenario.
</t>
  </si>
  <si>
    <t>CULT. EN COMÚN</t>
  </si>
  <si>
    <t>ESCENARIOS DISTRITALES</t>
  </si>
  <si>
    <t>Subtotal 2019</t>
  </si>
  <si>
    <t># actividades artísticas realizadas a través …</t>
  </si>
  <si>
    <t>Realizar 1100 actividades artísticas a través de la red de equipamientos del Idartes en las 20 localidades.</t>
  </si>
  <si>
    <t>TJEG</t>
  </si>
  <si>
    <t xml:space="preserve">Para  los tres primeros trimestres de 2019, se realizaron 843 actividades artísticas programadas desde los distintos equipamientos a cargo del Idartes, se describe a continuación la oferta artística presentada desde su red de equipamientos: en el Teatro Jorge Eliécer Gaitán 60.890 asistentes que participaron en 106 eventos ofertados en las franjas: Cosmopolita (20 eventos), Consentidos (23 eventos) y Colombia (15 conciertos), Alianza (23 eventos),  franja sabrosura en el Gaitán (2 eventos) Ensayos (18) actividades, los eventos más destacados fueron los conciertos: Paloma San Basilio, Alcolirykoz, Passenger,Serrat Mediterráneo Da Capo, Concierto de Rock Nacional, La Granja de Zenón, Concierto Didáctico OFB, Festival Centro, Noches Del Folclor Colombiano, El Misterio Del Libro Mágico De Pombo, El Tío Conejo En El Bosque De Los Tontos, Concierto De Vicente García, Los Ilustres - Liniers + Mott, y Los Vivancos. 
El Teatro el Parque realizó 168 eventos contando con la asistencia de 10.773 personas discriminadas en las franjas de Consentidos (73 actividades), alianzas (29 actividades), Emergentes (9 actividades), Colombia (12 actividades), Escolar (37 actividades), Festivales (4 conciertos), Ensayos (4 actividades); los principales eventos presentados fueron: El Viaje del Sputnik, La Banda Papayazzera, Cuentos para Alcanzar el cielo, La niña de las Flores, Concierto Coral Canta Bogotá Canta, Pinocho - puro corazón, Ali Babá On Air, Diáspora Metálica, New York Sueños de Copacabana, El Vuelo del Colibrí, El Principito, El Patito Feo, Hermanos Brothers, Las Euménides O Furias De Esquilo, El Joropo Es Mi Querer y Vuelven Los Dinosaurios De La Canción Infantil.
En el Teatro al Aire Libre la Media Torta se realizaron 48 eventos (principalmente del área artística de música) que contaron con una asistencia total de 13.008 personas, en las franjas de  Alianzas (11 actividades), Celebraciones (3 actividades), Colombia (4 actividades), Contenedor (5 actividades), Ensayadero (21 actividades); los eventos más destacados fueron: Tortazo de Desmadre con La Kalle, Tortazo Cardenal – Amor, Garra Y Fe, Tortek, tortazo vallenato, tortazo día de la madre, el tortazo Rototom, Tortazo amor y amistad, , Encuentro Regional Universitario De Orquestas – ASCUN y Festival Regional Universitario De Danza Folclórica – ASCUN.
Por su parte, en el Escenario Móvil Armando de la Torre se realizaron 32 actividades que contaron con la asistencia de 71.146  personas, en 4 franjas: Colombia (26 actividades), Festivales (2 actividades), Consentidos (2 actividades), Cosmopolita (2 actividades), dentro de las actividades más destacadas en el año se encuentran: Blues Movil, Día de la Afrocolombianidad, Festival Bronx, Festival Gospel, Celebración 20 Años Escenario Móvil, La Fiesta De La Música (Fête De La Musique), Reggae Móvil (Rototom), Festival N - N - Serenatas Al Centro, Indie Móvil y Tango Móvil
Respecto al Programa Cultura en Común, se realizaron 182 actividades artísticas y culturales contando con la participación de 43.709 asistentes en 11 localidades de Bogotá en el desarrollo de las franjas Colombia (71 actividades), Consentidos (56 actividades), Cosmopolita (16 actividades), Festivales y Alianzas (36 actividades), Sabrosura (1 actividad), dentro de las actividades a destacar se encuentran: Chambacú Corral De Negros, Conciertos (Beso de Negra), Kashtanka (Compañía Tierradentro Teatro), Las Líneas Del Rio, , Por Los Caminos De Colombia, Alicia En El País De Las Maravillas, Circo De Las Maravillas, La Niña De Las Flores, Llegar Muy Alto, El Circo Imaginario Del Payaso Overol, Lunáticas, Malena, Soy Pacifico, Fanfarria Orquesta,Rock Al Barrio D´Corrinche y Achichuy
Respecto al Teatro Mayor Julio Mario Santo Domingo, se realizaron 315 actividades que contaron con la asistencia de 172.010 personas, las principales actividades se enmarcan el desarrollo de la programación de temporadas de: Música: dentro de las que se destacan actividades como: The Black Cat, IV, Festival Internacional de Música Clasica Brahms, Schubert, Schumann, Opera Madama Butterfly , Orquesta Filarmónica de Bogotá, Dibújame una música, de La peor Señora del mundo, La Boz Galana con D’amor mormora il vento, Canciones y bailes “alla spagnola”, Cuento Cantao: concierto para la familia, La BOA con Máquina y Yeol Eum Son de Corea. Danza: Se presentaron funciones dentro de las que se resalta Scottish Dance Theatre, Reino Unido - Tutumucky -director: Botis Seva.  Ritualia - directora: Colette Sadler, Israel Galván, España. La edad de oro – Flamenco y la presentación artística de la Compañía CC2- Celui Qui Tombe. Teatro: Se presentaron  funciones y actividades de obras teatrales: Camargo y Mis Manitas Hablan, la Colmena, estreno nueva escena Colombiana mediano formato, Dramas neo-costumbristas de carácter fatal, mi niña, niña mía-España, y la maldición del rey ciego, 1 conversatorio denominada la congregación teatro y  Transmisión de Batuta y Mariachi de la estrategia Teatro Digital.
</t>
  </si>
  <si>
    <t xml:space="preserve">Una circunstancia que a Teatro el Parque, Programa Cultura en Común y Escenario Móvil les ha limitado, es el bajo presupuesto para contratar, incrementar la oferta y ampliar la cobertura territorial, situación que procuran superar mediante la gestión de alianzas, acuerdos de participación o la negociación de paquetes de funciones.
En esta meta, pese a que el Programa Cultura en Común trabaja con la red de gestores y con los enlaces territoriales de cultura, para promover la participación de la población que hace parte de los proyectos territoriales, en este tercer trimestre las dinámicas de paros y marchas han afectado la asistencia y algunas funciones se han cancelado por temas de seguridad.
Se han presentado situaciones externas en la ciudad que han afectado en alguna medida la asistencia a los eventos, como son: los paros, las marchas y el clima.
</t>
  </si>
  <si>
    <t>MEDIA TORTA</t>
  </si>
  <si>
    <t xml:space="preserve">TEATRO EL PARQUE </t>
  </si>
  <si>
    <t>PROGRAMA CULT. EN COMÚN</t>
  </si>
  <si>
    <t>TMJMSD</t>
  </si>
  <si>
    <t># de asistencias a las actividades artísticas (…) escenarios idartes</t>
  </si>
  <si>
    <t>Alcanzar 400.000 asistencias a las actividades artísticas programadas en los escenarios del Idartes.</t>
  </si>
  <si>
    <t xml:space="preserve">Para los tres primeros trimestres de 2019, se contó con una asistencia total de 364.905 personas en las actividades artísticas programadas desde los distintos equipamientos a cargo del Idartes, en el Teatro Jorge Eliécer Gaitán 60.890 asistentes que participaron en 106 eventos ofertados en las franjas: Colombia (13.383 asistentes), Consentidos (13.660 asistentes), Cosmopolita (17.138 asistentes),  alianzas (14.121 asistentes), sabrosura en el Gaitán  (1.069 asistentes) Ensayos (442 asistentes), 
El Teatro el Parque realizó 168 eventos contando con la asistencia de 10.773 personas discriminadas en las franjas de: alianzas (835 asistentes), Consentidos (7.560 asistentes), Emergentes (371 asistentes), Franja Colombia (841 asistentes), Franja Escolar (770 asistentes), Franja Festivales (302 asistentes), Ensayos (94 asistentes) 
En el Teatro al Aire Libre la Media Torta, se realizaron 48 eventos (principalmente del área artística de música) que contaron con una asistencia total de 13.008  personas, las asistencias por franjas en este escenario fueron las siguientes: Alianzas (1.752 asistentes), Celebraciones (2.502 asistentes), Colombia (5.081 asistentes), Contenedor (64 asistentes), festivales (3.462 asistentes), Ensayadero (183 asistentes). 
En el escenario Móvil Armando de la Torre se registraron 71.146 asistencias correspondientes a 32 actividades, la distribución por franjas en este escenario es la siguiente: Colombia (64.903 asistentes), Festivales (530 asistentes), Consentidos (4.213 asistentes), Cosmopolita (1.500 asistentes).
Respecto al Programa Cultura en Común, se realizaron 182 actividades artísticas y culturales contando con la participación de 43.709 asistentes en las siguientes franjas: Colombia (15.412 asistentes), Consentidos (13.128 asistentes), Cosmopolita (2.815 asistentes), Emergentes (250 asistentes) Festivales y alianzas (11.792 asistentes), Sabrosura (190 asistentes). 
Respecto al Teatro Mayor Julio Mario Santodomingo se registraron en total 172.010 asistentes en 315 actividades distintas.
En cuanto a las características del público en cada uno de los escenarios de la entidad y en los espacio destinados por parte del Programa Cultura en Común es posible destacar la participación por grupo etario de la siguiente manera: Primera Infancia 16.684 asistentes, infancia y adolescencia 31.802 asistentes, juventud 35.181 asistentes, personas adultas 33.756 asistentes, personas adultas mayores 11.092 asistentes,  madres gestantes 583 asistentes; por sector social: personas habitantes de calle 121 asistentes, mujeres 34.133 asistentes, personas con discapacidad 2.225 asistentes, personas privadas de la libertad 3 asistentes, profesionales del sector 788 asistentes, Sectores LGBTIQ 128 asistentes, personas Víctimas del Conflicto Armado 70 asistentes, ahora bien por grupo étnico se registraron las siguientes asistencias: Población Afrocolombiana 1.480 asistentes y Comunidad Negra 1 asistente, Pueblos Indígenas 13 asistentes, 
De otro lado, la oferta de la entidad a través de este proyecto de inversión llego a 18 localidades distintas de la ciudad, las asistencias por localidad fueron las siguientes: Usaquén 9.330 asistentes, Engativá 3.972 asistentes, Suba 8.487 asistentes, Barrios Unidos 1.470 asistentes, Teusaquillo 6.321 asistentes, Los Mártires 923 asistentes, Antonio Nariño 4.469 asistentes, Puente Aranda 801 asistentes, Candelaria 33.308 asistentes , Ciudad Bolívar 5.435 asistentes, Chapinero 3.250 asistentes, Santafé 101.293 asistentes, San Cristóbal 7.765 asistentes, Usme 4.470 asistentes, Tunjuelito 900 asistentes, Bosa 2110 asistentes, Kennedy 4.386  asistentes y Fontibón 2.157 asistentes, y finalmente 164.058 asistencias fueron de carácter Distrital 
</t>
  </si>
  <si>
    <t>La asistencia en el Teatro al Parque se ha visto afectada por la inseguridad que existe en el entorno del escenario, especialmente en la noche, ya que la zona es muy solitaria y el público está expuesto a la delincuencia.</t>
  </si>
  <si>
    <t xml:space="preserve">Subtotal 2017 </t>
  </si>
  <si>
    <t>% de aumento en los recursos gestionados …</t>
  </si>
  <si>
    <t>Aumentar en 3% anual, los recursos gestionados por venta de bienes y servicios y alianzas para la operación de los escenarios a cargo del Idartes según el modelo de gestión en red.</t>
  </si>
  <si>
    <t xml:space="preserve">Subdirección de Equipamientos </t>
  </si>
  <si>
    <t>Consolidado 3er Trimestre de 2019 respecto de aumentar los recursos gestionados por venta de bienes, servicios y alianzas para la operación de los escenarios a cargo del Idartes. Acumulado se cuenta con $7.605 millones de acumulado por recaudo de bienes y servicios Esta cifra corresponde a un avance 2.27% respecto a la línea base de la meta. Cada uno de los equipamientos presentó el siguiente comportamiento de recaudo: La Nueva Cinemateca presentó un recaudo acumulado al trimestre de $1.301 millones, que representan una variación sobre su base de del 46%. El Teatro Municipal Jorge Eliecer Gaitán presentó un recaudo acumulado trimestral 930 millones, que representan una variación sobre su base de recaudo del 1.7 %.  El Teatro el parque acumuló $29 millones de generando una diferencia de 1.6% sobre su base de recaudo.  EL Planetario de Bogotá presenta un recaudo acumulado de 1.812 millones en ingresos, los cuales representan un 1.9% sobre la meta de recaudo. Finalmente, el Teatro Mayor Julio Mario Santo reportó ingresos acumulados por de $3.533 millones de pesos, los ingresos del mes de septiembre se encuentran en trámite de legalización.</t>
  </si>
  <si>
    <t xml:space="preserve">
Para el caso del Teatro Municipal Jorge Eliécer Gaitán se afectó a esta meta debido al cambio de plataforma de contratación (pasar de SECOP II a SECOP I), pues generó un reproceso y por consiguiente demora en la gestión adelantada con los empresarios que alquilan el equipamiento; para superar la situación, el equipo administrativo del escenario del viene haciendo un acompañamiento a los empresarios para lograr la firma de las minutas de los contratos que ahora se hace en físico.
Otro aspecto que impactó particularmente esta meta de recaudo como la de asistencias en el TJEG fue la falta de recursos para hacer una difusión efectiva de los eventos, sin embargo, para superar la situación se realizó alianza con Caracol Radio con el fin de lograr pauta radial, así mismo, se realizó venta corporativa de boletería de diferentes eventos a FECOLSA. Situación que también afectó al Teatro el Parque – TEP-, no sólo para hacer la difusión efectiva de la programación sino para promover el escenario. 
El TEP no ha logrado recaudar por concepto de alquiler del escenario debido a que no ha logrado alquilarlo, las tarifas establecidas en la resolución de uso frente al poco aforo con que cuenta el teatro no resultan atractivos no rentables para el solicitante</t>
  </si>
  <si>
    <t># programas de mejoramiento y dotación realizados</t>
  </si>
  <si>
    <t>Realizar 3 programas de mejoramiento y dotación especializada en los equipamientos culturales a cargo del Idartes.</t>
  </si>
  <si>
    <t>Para el cumplimiento misional del Idartes, se requiere desarrollar acciones para el óptimo funcionamiento de los equipamientos culturales que tiene a su cargo y garantizar una programación de calidad, se organizaron tres (3) programas de mejoramiento y dotación especializada así: Programa 1. Mantenimiento, el cual consta de dos (2) componentes: Mantenimiento general, referido a la infraestructura (bienes inmuebles). Mantenimiento especializado, referido a los equipos técnicos especializados para las artes escénicas. Programa 2. Dotación especializada, referido a la adquisición de equipos técnicos especializados para las artes escénicas. Programa 3. Mejoramiento y dotación especializada al equipamiento escenario móvil 2, referido al proceso de adquisición de una segunda unidad móvil. A continuación, se describen los avances desarrollados en estos programas durante primer semestre de 2019: 
1 MANTENIMIENTO: 1.1 INFRAESTRUCTURA: El mantenimiento general de los equipamientos se realiza conjuntamente la Subdirección Administrativa y Financiera y la Subdirección de Equipamientos Culturales. Teatro Municipal Jorge Eliécer Gaitán - TJEG, De once (11) requerimientos definidos, se han realizado seis (6), una (1) se encuentra en desarrollo y es la referente a la renovación de ocho (8) camerinos, de los cuales han sido renovados cuatro (4): revisión periódica del sistema de aguas y motobomba, revisión periódica de baños públicos, instalación o cambio de vidrios y espejos, limpieza, mantenimiento e impermeabilización de cubierta oficinas del piso 4, arreglo de muro y guarda escoba en pasillo de entrada Galería, instalación de rejillas para luces delanteras de las nubes y cambio de bombillas fundidas, arreglo de reja en el baño de hombres del salón de espejos, entre otras que se presentan en la marcha y en razón a su necesidad deben ser atendidas. Teatro el Parque – TEP-, De 10 requerimientos definidos, se han realizado ocho 8, uno 1 se encuentra en desarrollo y es el referente a la pintura interna del escenario y al mantenimiento general de otros espacios del Teatro como: sala de exposiciones, hall de acceso, sala, foso, pasillo camerinos, oficinas, cabina de luces y baños. 1. Restauración de panel acústico de madera en sala; 2. Mantenimiento y limpieza de cubierta, arreglo de filtraciones de humedad, limpieza periódica de canales, elaboración e instalación de flanche para taponamiento de grieta en fachada occidental; 3. Actualización de iluminación en varias áreas del Teatro: baños públicos, camerinos, foso, sala y accesos; 4. Adquisición e instalación de doce 12 lámparas de emergencia en las diferentes áreas del Teatro; 5. Instalación de UPS; 6. Adquisición e instalación de 20 ganchos para extintores según recomendaciones de SST; 7. En camerinos: adquisición e instalación de 90 rosetas para marcos de espejos, actualización de conexión eléctrica (incluye tomas e interruptores), instalación de bombillos nuevos; 8. Mantenimiento correctivo de 8 sillas exteriores ancladas a piso. Teatro al Aire Libre La Media Torta, de seis 6 requerimientos definidos, se han realizado tres 3, uno se encuentra en curso y es el referente al mantenimiento general correctivo por filtraciones internas, arreglo y pintura de puertas, paredes y techos, e instalación de techos falsos en superboard y drywall. 1.2 MANTENIMIENTO ESPECIALIZADO: En el TJEG se adelantaron 5 acciones: 1. Mantenimiento preventivo y correctivo del canasto electromecánico de la barra de luminarias "la mentirosa", desde la SEC se adelantaron todas las acciones precontractuales necesarias para lograr la contratación del mantenimiento, el proceso fue lanzado en tres (3) ocasiones, se declaró desierto en dos oportunidades y finalmente fue adjudicado. El contrato se encuentra en ejecución. (Contrato 1655 de 2019 publicado en SECOP II). 2. Mantenimiento preventivo y correctivo del sistema de iluminación escénico y de sala, desde la SEC se adelantaron todas las acciones precontractuales necesarias para lograr la contratación del mantenimiento, el proceso fue lanzado y adjudicado. El plazo de ejecución es del 15 de agosto al 12 de noviembre. (Contrato No. 1671 de 2019 SECOP II). 3. Mantenimiento preventivo y correctivo de las nubes acústicas ubicadas sobre el proscenio del escenario y la platea de la sala del Teatro, se publicó solicitud de cotizaciones para estudio de mercado, pero no se presentaron oferentes, por tanto, la entidad sugiere dejar proyectado el proceso para la siguiente vigencia. 4. Servicio de diagnóstico para el mantenimiento preventivo y correctivo de la plataforma elevadora unipersonal Genie para enfoque y direccionamiento de luminarias y tramoya del Teatro, se adelantaron todas las acciones precontractuales necesarias para lograr la contratación, el proceso fue lanzado y declarado desierto, por tanto, desde la SEC se tomó la decisión de publicarlo nuevamente, estableciendo como fechas para la presentación de ofertas el 03 de octubre y para la adjudicación el 16 de octubre. (Código de proceso: Idartes – MIC – 053 – 2019); de mencionar, que del resultado de este proceso depende que se realice el mantenimiento a la plataforma, el cual requerirá en su momento adelantar el proceso contractual respectivo. 5. Mantenimiento preventivo y correctivo del Piano Grand Concert, se publicaron especificaciones técnicas para estudio de mercado, pero debido a la disparidad de las cotizaciones recibidas la SEC decidió no realizar el proceso de contratación. Escenario Móvil Armando De la Torre ha tenido servicios de garantía por problemas en el sistema hidráulico y eléctrico, condiciones imprevistas que han requerido atención inmediata; por otro lado, el equipo técnico del escenario ha realizado el mantenimiento periódico (limpieza) al escenario y al equipo de amplificación de sonido. Teatro san Jorge: En el marco del convenio interadministrativo 222 de 2018 con la SCRD se contrataron los Estudios y diseños del Teatro $926.698.680 m/te, avanzando con la ejecución de la Fase I de valoración preliminar, la cual se encuentra ejecutada en un 100% Fase II en la que se realizaron: estudios (patológico, geotécnico, de vulnerabilidad sísmica, técnico de humedades, de sanidad de maderas y de aspectos normativos y legales), exploraciones estratigráficas, evaluación de redes y sistema hidrosanitario y síntesis del diagnóstico del inmueble. Fase III en la que se realizó la síntesis de la valoración del inmueble y la definición de los criterios de valoración. Con un avance del 30% se encuentra la Fase IV en la que se han adelantado algunas actividades relacionadas con: aspectos de conservación-restauración, proyecto de adecuación arquitectónica, proyecto de diseño de adaptación teatral, proyecto acústico arquitectónico y propuesta de mecánica teatral. Es importante resaltar que los productos que aquí se mencionan, han sido revisados y aprobados por parte de la Interventoría contratada para los aspectos técnicos, administrativos y financieros de estos estudios y diseños.
2. DOTACIÓN ESPECIALIZADA: momento se encuentra publicado el proceso en SECOP II, se espera adjudicación en el mes de octubre. (Código de proceso: IDARTES-MIC-051-2019). 2. Ferretería especializada para las actividades de producción de los eventos, contrato adjudicado (No. 1482 de 2019), a la fecha se ha recibido una entrega parcial correspondiente al 50% de los elementos. Escenario Móvil Armando de la Torre 1. Adquisición de monitores de amplificación de sonido. Se adelantaron acciones necesarias para el proceso de contratación (IDARTES-MIC-044-2019), el cual fue adjudicado y se encuentra en etapa de perfeccionamiento del contrato2. Adquisición de una pijama o forro para protección del escenario. Se adelantaron las acciones necesarias para el proceso de contratación, no hubo proponentes, por tanto, el proceso se declaró desierto. 3. Adquisición de una rampa de carga y descarga para el escenario, se publicó la solicitud de cotizaciones para estudio de mercado, pero no se presentaron oferentes.  Teatro al Aíre Libre la Media Torta: Una, la adquisición de un sobre piso en caucho para el escenario, y la otra, la adquisición de una estructura autoportante en aluminio para montaje y desmontaje en espacios abiertos y cerrados de pantalla led y/o luminarias; para ambos casos se publicó solicitud de cotizaciones para estudio de mercado, pero no se presentaron oferentes, por tanto, la entidad sugirió dejar los procesos para la siguiente vigencia.</t>
  </si>
  <si>
    <t># actividades en torno a la interacción entre arte, cultura científica …</t>
  </si>
  <si>
    <t xml:space="preserve">996 - Integración entre el arte, la cultura científica, la tecnología y la ciudad                                                                                                                                                                                                                                                                                                                                                                                                                                                                                                                          </t>
  </si>
  <si>
    <t>Realizar 9.000 actividades  en torno a la interacción entre arte,  cultura científica y tecnología.</t>
  </si>
  <si>
    <t xml:space="preserve">Planetario de Bogotá  </t>
  </si>
  <si>
    <t xml:space="preserve">Durante los tres primeros trimestres  de la vigencia 2019, el Instituto Distrital de las Artes en cumplimiento de la meta de “Realizar 9.000 actividades en torno a la interacción entre arte, cultura científica y tecnología” ha desarrollado 6.842 actividades que a su vez contaron con la asistencia de 429.910 ciudadanos, las actividades desarrolladas  a través del proyecto de inversión se realizaron en cuatro líneas distintas, de una parte las actividades de enseñanza no formal, por otro lado, actividades de divulgación, en tercer lugar Gestión de comercialización de eventos y alquiler de espacios realizadas por el Planetario de Bogotá y finalmente actividades desarrolladas por la Línea Estratégica Arte Ciencia y Tecnología.
Las actividades de enseñanza no formal se realizaron a través del Programa Planetario Enseña, que contó con actividades como: actividad Club de astronomía y tecnología Infantil, Juvenil, de mayores – PLEYADES, el  cual desarrolla competencias investigadoras a través de la apropiación social del conocimiento Científico, Astronómico y del Universo, con espacios dirigido a niños, niñas y jóvenes de 4 a 7 años “Alcyone”, 8 a 12 años “Electra”, de tecnología entre los 8 a 12 años y 13 a 17 años “Atlas” y de mayores de edad “Maia”, en total durante los tres primeros trimestres de 2019 se registraron 84 sesiones; de otro lado se realizó la actividad cursos de astronomía, astrografía e ilustración científica para jóvenes y adultos, que busca a través de actividades teórico-prácticas, en un entorno académico asesorado por expertos, contribuir a la cultura científica, dirigido  a jóvenes y adultos, contó con la realización de 20 sesiones en los tres primeros trimestres; actividad Semilleros de Astronomía, que busca fomentar un acercamiento con la Astronomía y las Ciencias del Espacio para el estudio y la indagación de los objetos y fenómenos celestes a través del desarrollo de eventos y actividades de formación, divulgación y disfrute de la Astronomía, esta actividad cuenta con tres líneas de acción distintas: Laboratorios Pedagógicos, Semilleros de Astronomía, y formación o actualización, en total en el primer semestre se realizaron 33 de estas actividades. 
Por su parte en el componente de actividades de Divulgación, que cuenta con el Programa Planetario Acoge, y el Programa Planetario en Movimiento desarrollo actividades como:
Programa Planetario Acoge
• Actividad Experiencias Domo, donde se realizan funciones en el Domo del Planetario de Bogotá sobre temas especializados con el proyector de estrellas del Planetario. Los equipos de proyección instalados en la cúpula del Planetario ofrecen presentaciones sobre temas astronómicos y otros de naturaleza histórica y científica, relacionados con el estudio de la Tierra y el Universo, en total en el primer semestre se realizaron 1.701 proyecciones.
• Actividad Experticias en el Museo del Espacio, donde se busca que sus visitantes vivan una experiencia interactiva y lúdica para despertar su interés por el conocimiento de las Ciencias, la Astronomía y el Universo. El recorrido comprende 650 mts2 en 5 salas (Mirar al cielo, Mirar e Interpretar, Mirar lo Invisible, Mirar con la Mente y Mirarnos) con 35 experiencias visuales, audiovisuales e interactivas, en total en el semestre se realizaron 732 recorridos. 
• Actividad Astro-bebes que cuenta con jornada de divulgación de la ciencia y estimulación sensorial para bebés y niños(as) hasta 5 años, en total en el primer semestre se desarrollaron 65 actividades. 
• Actividad Experiencia Lúdica – Talleres, que ofrece entretenimiento y diversión a través de experiencias inmersivas que incluyen lúdica, ciencia, observaciones, exhibiciones, instrumentación y audiovisual en temas Astronómicos y ciencias afines para niños, niñas, jóvenes y adultos, en total  en lo corrido del año se desarrollaron 769 actividades. 
• Actividad investigación, aprendizaje por descubrimiento y trabajo en equipo Gestión social, crea un espacio de desarrollo de un pensamiento crítico y autónomo, en cuanto permite formularse problemas que otros no han percibido en la realidad; crea una dinámica reflexiva de análisis, interpretación y elaboración de explicaciones que confronta con el saber acumulado y busca nuevas lecturas e interpretaciones de ese saber y de la realidad misma en torno a la ciencia y el arte, en total se desarrollaron 434 de estas actividades durante el primer semestre del año.  
• Actividad Astroteca, espacio en donde se satisface las necesidades de información de público de todas las edades y se promueve la lectura de literatura científica, mediante actividades pedagógicas y culturales., contando con 215 días de consulta en sala. 
• Actividad observaciones astronómicas, en donde se muestra al público los objetos celestes que se observan el cielo diurno haciendo énfasis en el uso del material y los equipos disponibles. Participa público general de 10 a 65. Esta práctica astronómica en campo es una actividad fundamentalmente visual para observar el cielo diurno, y los astros como el Sol y la Luna cuando están visibles, en total se realizaron 247 actividades de observación. 
• Actividades Artísticas y Exposiciones Temporales, son celebraciones temáticas  donde se destacan fechas memorables para los acontecimientos, homenajes y personajes célebres o científicos e investigadores que han realizado aportes significativos al progreso del conocimiento científico, de la Ciencia, la Astronomía y sus Ciencias Afines, se han desarrollaron exposiciones como:  “Impactos” (Enero 2019) a través de la actividad visita comentada, la cual consiste en acercar contenidos propios de la ciencias de la astronomía a través de imágenes y textos correspondientes a la temporada ; “superluna llena” del año, El Aerolito de Santa Rosa de Viterbo la cual se llevó a cabo en el último fin de semana del mes de mayo,  y 50 años del hombre en la luna  en total en este periodo se desarrollaron 159 actividades. 
• Actividad ambientes de aprendizaje interculturales – Presentaciones artísticas, son representaciones artísticas en torno a la Astronomía y ciencias afines en el marco del arte, la ciencia y la tecnología. En este espacio se muestran las creaciones artísticas que fomentan la Apropiación de la Ciencia y la Cultura, con buena dosis de entretenimiento. Entre las actividades realizadas se encuentran Obras de teatro, Conciertos, presentaciones de danza y Franjas de cine, en total en los tres pimeros trimestres se desarrollaron 10 presentaciones artísticas. 
• Actividad Fomento y participación de la Cultura Científica, donde se apoya y fomenta el desarrollo de charlas y/o conferencias que como técnica grupal formal, un expositor calificado desarrolla un tema ante un auditorio, se busca acercar al público al conocimiento del Universo mediante conversatorios que permitan difundir el conocimiento científico en temáticas relacionadas con Astronomía y sus ciencias afines, en total se desarrollaron en los tres primeros trimestres del año 201 actividades.
• Actividad Astronomía con entidades afines, con esta actividad se apoya la divulgación y defensa de la cultura científica, en particular la Astronomía y ciencias afines. Se han logrado realizar programas, eventos y actividades con las Asociaciones de Astrónomos ASASAC y ACDA, y  la Biblioteca Luis Ángel Arango.  El público participa en las disertaciones y desarrollo de las temáticas para comprender el significado de los fenómenos astronómicos y la importancia del estudio de la estructura y evolución del Universo, en total se desarrollaron 66 actividades. 
• Actividad Teatro Ciencia, esta actividad busca facilitar el uso y aplicación de las Artes Escénicas para la apropiación de la cultura científica. En los tres primeros trimestre del año, el Planetario de Bogotá ha puesto en escena 2 obras la primera denominada Albert Einstein la cual es una obra de teatro-ciencia que acerca al público a la vida y obra de Albert Einstein, las segunda denominada Galileo Galilei es una obra de teatro-ciencia itinerante que acerca al público a la vida y obra de Galileo Galilei, en total durante  la presente vigencia se realizaron 166 presentaciones.
Programa Planetario en Movimiento
• Proyecto Astronomía Itinerante, este busca acercar y apropiar a la ciudadanía de la Astronomía y Ciencias del Espacio. Se realiza con un Planetario Móvil inflable y un equipo de proyección Digital StarLab con capacidad para 35 personas, en distintos espacios de la ciudad, se complementa la proyección astronómica con experiencias lúdicas en diferentes temáticas, dirigidas a todo público, conferencias sobre Ciencias Básicas y Astronomía, observaciones astronómicas diurnas y nocturnas con telescopios, en total durante los tres primeros trimestres  del año se desarrollaron 54 actividades. 
• Actividad “Planetario te visita”, en el marco de la celebración de 50 años, el Planetario de Bogotá ha puesto en marcha una estrategia de acercamiento a la ciudadanía, visitando cada una de las localidades de la capital,  es por ello que dos veces por mes, el Planetario en movimiento visita las localidades con actividades de observación por telescopio, charlas científicas, proyecciones en el domo inflable y presentaciones de arte ciencia, el total de actividades durante este año ha sido de 161. 
El componente de Gestión de Comercialización de eventos y Alquiler de espacios, conto con componentes como:
• Portafolio de Mercadeo, Comercialización, Alianzas y Convenios, en este se cual se obtuvo la Estrategia de Mercadeo para el 2019, así como el Tablero de Control, para realizar el seguimiento a su implementación. Para ordenar lo que la estrategia planteada, se dividieron las actividades en los diferentes públicos que nos visitan: Público general, comunidad educativa, comunidad empresarial, operadores turísticos y productores de eventos, en este periodo se dieron 63 requerimientos y tramitados dirigido a distintas organizaciones y dependencias en las categorías descritas anteriormente. 
• Convenios en ejecución, durante los tres primeros trimestres del año se tuvieron suscritos los convenios: Convenio IDARTES -Universidad Colegio Mayor de Cundinamarca: Vigente hasta el 30 de noviembre de 2019, Convenio IDARTES -  Universidad Pedagógica Nacional: Vigente hasta 19 de septiembre de 2021, Convenio IDARTES – I.E.D. República de China: Vigente hasta 10 de agosto de 2019, Convenio IDARTES – Universidad Nacional de Colombia No. 1255 del 12 de abril al 30 de noviembre de 2019. 
• Actividad Estrategias de Acompañamiento Pedagógico y Centro de Interés en Astronomía (CIA) (Convenio IDARTES-SED),  en el marco del convenio 551504 de 2018, suscrito entre la Secretaría de Educación Distrital y el Instituto Distrital de las Artes – IDARTES – Planetario de Bogotá, que tuvo vigencia hasta el 8 de febrero de 2018, se dio implementación al Centro de Interés en Astronomía con la atención inicial de 6, de las 11 Instituciones Educativas Distritales a focalizar para el 2019: Clemencia de Caicedo, El Japón, Integrada La Candelaria, Luis López de Mesa, Delia Zapata y San José Suroriental. La atención se dio entre el 29 de enero y el 8 de febrero de 2019. Luego de la terminación del convenio 551504 de 2018, se suscribió el convenio interadministrativo No. 868456, el 4 de marzo de 2019, en total en los tres primeros trimestres del año se realizaron 1.628 actividades lúdico-pedagógicas.
Por su parte a través de la Línea Estratégica Arte Ciencia y Tecnología se desarrollaron 36 actividades, se destacan entre estas vacíø de videø: prólogo. Una investigación de Juan Orozco sobre David Larcher y su obra videøvoid, Encuentro Nerd – Bosques para el futuro, Actividad de acompañamiento al proceso interno con Comunicaciones del Idartes, Club de electrónica y hacktividad, Muestra de resultados. Laboratorio Tecnología, Artes Mediáticas, y Pedagogías Emergentes, Inauguración Muestra de resultados. Laboratorio SIMBIOSIS: Habitar – Reconocer, Lanzamiento laboratorio Performatico, Muestra de resultados Laboratorio Transjaquer, Inauguración. Muestra de resultados  laboratorio Klever Creación e Inteligencia Artificial, Muestra de resultados  laboratorio Klever Creación e Inteligencia Artificial, Transmisión conferencia Donna Haraway, Muestra permanente cine experimental A cargo Cineautopsia, Taller de Periodismo bastardo, mutante, fronterizo y forajido, Coloquio de Tecnologías y Ancestralidad, Encuentro Nerd Noise, HACKTIVIDAD, Bar de bacterias, Muestra de resultados. Laboratorio Transacciones de Ruido, Tomas sonoras, Conversatorio BREITBART RED -  The New Fascist Cultural Revolution (La Revolución cultural neofascista y el Taller de Síntesis Vectorial
</t>
  </si>
  <si>
    <t xml:space="preserve">Arte, ciencia y tecnología
 Dirección </t>
  </si>
  <si>
    <t># asistencias a actividades programadas en torno a la interacción entre arte, cultura científica …</t>
  </si>
  <si>
    <t>Alcanzar 450.000 asistencias a las actividades programadas en torno a la interacción entre arte,  la cultura científica y la tecnología en la ciudad.</t>
  </si>
  <si>
    <t xml:space="preserve">Durante los tres primeros trimestres de la vigencia 2019, el Instituto Distrital de las Artes en cumplimiento de la meta de “Alcanzar 450.000 asistencias a las actividades programadas en torno a la interacción entre arte, la cultura científica y la tecnología en la ciudad.” Ha alcanzado 429.910 asistencias a 6.842 actividades realizadas en torno a la interacción entre arte, cultura científica y tecnología,  las actividades objeto de estas asistencias se realizaron en cuatro líneas distintas, de una parte las actividades de enseñanza no formal, por otro lado, actividades de divulgación, en tercer lugar Gestión de comercialización de eventos, alquiler de espacios realizadas por el Planetario de Bogotá y finalmente las actividades desarrolladas por la Línea Estratégica Arte Ciencia y Tecnología.
Las actividades de enseñanza no formal se realizaron a través del Programa Planetario Enseña, que contó con actividades como:  actividad Club de astronomía y tecnología Infantil, Juvenil, de mayores – PLEYADES, el  cual desarrolla competencias investigadoras a través de la apropiación social del conocimiento Científico, Astronómico y del Universo, con espacios dirigido a niños, niñas y jóvenes de 4 a 7 años “Alcyone”, 8 a 12 años “Electra”, de tecnología entre los 8 a 12 años y 13 a 17 años “Atlas” y de mayores de edad “Maia”, en total durante los tres  primeros trimestres se registraron 1.062 asistencias; de otro lado se realizó la actividad cursos de astronomía, astrografía e ilustración científica para jóvenes y adultos, que busca a través de actividades teórico-prácticas, en un entorno académico asesorado por expertos, contribuir a la cultura científica, dirigido  a jóvenes y adultos contó con la participación de 370 asistentes en los tres primeros trimestres del año; actividad Semilleros de Astronomía, que busca fomentar un acercamiento con la Astronomía y las Ciencias del Espacio para el estudio y la indagación de los objetos y fenómenos celestes a través del desarrollo de eventos y actividades de formación, divulgación y disfrute de la Astronomía, esta actividad cuenta con tres líneas de acción distintas: Laboratorios Pedagógicos, Semilleros de Astronomía, y formación o actualización, en total en los tres primeros trimestres se registraron 1.028 asistencias  en estas actividades.  
Por su parte en el componente de actividades de Divulgación, que cuenta con el Programa Planetario Acoge y el Programa Planetario en Movimiento desarrollo actividades que contaron con las asistencias que se describen a continuación:
Programa Planetario Acoge
• Actividad Experiencias Domo, donde se realizan funciones en el Domo del Planetario de Bogotá sobre temas especializados con el proyector de estrellas del Planetario. Los equipos de proyección instalados en la cúpula del Planetario ofrecen presentaciones sobre temas astronómicos y otros de naturaleza histórica y científica, relacionados con el estudio de la Tierra y el Universo, en total al tercer trimestre del año se registraron 203.871 asistentes. 
• Actividad Experticias en el Museo del Espacio, donde se busca que sus visitantes vivan una experiencia interactiva y lúdica para despertar su interés por el conocimiento de las Ciencias, la Astronomía y el Universo. El recorrido comprende 650 mts2 en 5 salas (Mirar al cielo, Mirar e Interpretar, Mirar lo Invisible, Mirar con la Mente y Mirarnos) con 35 experiencias visuales, audiovisuales e interactivas, en total en al tercer trimestre del año se registraron 74.684 asistentes. 
• Actividad Astro-bebes que cuenta con jornada de divulgación de la ciencia y estimulación sensorial para bebés y niños(as) hasta 5 años, en total a tercer trimestre se contabilizaron 1.922 asistentes.  
• Actividad Experiencia Lúdica – Talleres, que ofrece entretenimiento y diversión a través de experiencias inmersivas que incluyen lúdica, ciencia, observaciones, exhibiciones, instrumentación y audiovisual en temas Astronómicos y ciencias afines para niños, niñas, jóvenes y adultos, en total se registraron 23.390 asistentes.
• Actividad investigación, aprendizaje por descubrimiento y trabajo en equipo Gestión social, crea un espacio de desarrollo de un pensamiento crítico y autónomo, en cuanto permite formularse problemas que otros no han percibido en la realidad; crea una dinámica reflexiva de análisis, interpretación y elaboración de explicaciones que confronta con el saber acumulado y busca nuevas lecturas e interpretaciones de ese saber y de la realidad misma en torno a la ciencia y el arte, en total se registraron  12.079 asistentes.  
• Actividad Astroteca, espacio en donde se satisface las necesidades de información de público de todas las edades y se promueve la lectura de literatura científica, mediante actividades pedagógicas y culturales., contando con 2.671 personas en consulta.  
• Actividad observaciones astronómicas, en donde se muestra al público los objetos celestes que se observan el cielo diurno haciendo énfasis en el uso del material y los equipos disponibles para la actividad. Participa público general de 10 a 65 años. Esta práctica astronómica en campo es una actividad fundamentalmente visual para observar el cielo diurno, y los astros como el Sol y la Luna cuando están visibles, en total se registraron 14.321 asistentes. 
• Actividades Artísticas y Exposiciones Temporales, son celebraciones temáticas  donde se destacan fechas memorables para los acontecimientos, homenajes y personajes célebres o científicos e investigadores que han realizado aportes significativos al progreso del conocimiento científico, de la Ciencia, la Astronomía y sus Ciencias Afines, se han desarrollaron exposiciones como:  “Impactos” (Enero 2019) a través de la actividad visita comentada, la cual consiste en acercar contenidos propios de la ciencias de la astronomía a través de imágenes y textos correspondientes a la temporada ; “superluna llena” del año, El Aerolito de Santa Rosa de Viterbo la cual se llevó a cabo en el último fin de semana del mes de mayo,  y 50 años del hombre en la luna  en total en este periodo se registraron en total durante lo corrido del año 5.859 asistentes 
• Actividad ambientes de aprendizaje interculturales – Presentaciones artísticas, son representaciones artísticas en torno a la Astronomía y ciencias afines en el marco del arte, la ciencia y la tecnología. En este espacio se muestran las creaciones artísticas que fomentan la Apropiación de la Ciencia y la Cultura, con buena dosis de entretenimiento. Entre las actividades realizadas se encuentran Obras de teatro, Conciertos, presentaciones de danza y Franjas de cine, en total en con corte a tercer trimestre se contó con 1.185 participantes. 
• Actividad Fomento y participación de la Cultura Científica, donde se apoya y fomenta el desarrollo de charlas y/o conferencias que como técnica grupal formal, un expositor calificado desarrolla un tema ante un auditorio, se busca acercar al público al conocimiento del Universo mediante conversatorios que permitan difundir el conocimiento científico en temáticas relacionadas con Astronomía y sus ciencias afines, en total en lo corrido del año se contaron con 13.028 asistentes. 
• Actividad Astronomía con entidades afines, con esta actividad se apoya la divulgación y defensa de la cultura científica, en particular la Astronomía y ciencias afines. Se han logrado realizar programas, eventos y actividades con las Asociaciones de Astrónomos ASASAC y ACDA., El público participa en las disertaciones y desarrollo de las temáticas para comprender el significado de los fenómenos astronómicos y la importancia del estudio de la estructura y evolución del Universo, en total se registraron 2.959 asistencias durante los tres primeros trimestres del año. 
• Actividad Teatro Ciencia, esta actividad busca facilitar el uso y aplicación de las Artes Escénicas para la apropiación de la cultura científica. En el primer semestre del año, el Planetario de Bogotá ha puesto en escena 2 obras la primera denominada Albert Einstein la cual es una obra de teatro-ciencia que acerca al público a la vida y obra de Albert Einstein, las segunda denominada Galileo Galilei es una obra de teatro-ciencia itinerante que acerca al público a la vida y obra de Galileo Galilei, en total durante la presente vigencia se registraron 10.959 asistentes. 
Programa Planetario en Movimiento
• Proyecto Astronomía Itinerante, este busca acercar y apropiar a la ciudadanía de la Astronomía y Ciencias del Espacio. Se realiza con un Planetario Móvil inflable y un equipo de proyección Digital StarLab con capacidad para 35 personas, en distintos espacios de la ciudad, se complementa la proyección astronómica con experiencias lúdicas en diferentes temáticas, dirigidas a todo público, conferencias sobre Ciencias Básicas y Astronomía, observaciones astronómicas diurnas y nocturnas con telescopios, en total durante los tres primeros trimestres del año se registraron 8.680 asistentes.  
• Actividad “Planetario te visita”, en el marco de la celebración de 50 años, el Planetario de Bogotá ha puesto en marcha una estrategia de acercamiento a la ciudadanía, visitando cada una de las localidades de la capital,  es por ello que dos veces por mes, el Planetario en movimiento visita las localidades con actividades de observación por telescopio, charlas científicas, proyecciones en el domo inflable y presentaciones de arte ciencia, el total de asistentes en esta actividad fue de 12.889 personas.
El componente de Gestión de Comercialización de eventos y Alquiler de espacios, conto con componentes como:
• Convenios en ejecución, durante los tres primeros trimestres del año se tuvieron suscritos los convenios: Convenio IDARTES -Universidad Colegio Mayor de Cundinamarca: Vigente hasta el 30 de noviembre de 2019, Convenio IDARTES -  Universidad Pedagógica Nacional: Vigente hasta 19 de septiembre de 2021, Convenio IDARTES – I.E.D. República de China: Vigente hasta 10 de agosto de 2019, Convenio IDARTES – Universidad Nacional de Colombia No. 1255 del 12 de abril al 30 de noviembre de 2019.
Actividad Estrategias de Acompañamiento Pedagógico y Centro de Interés en Astronomía (CIA) (Convenio IDARTES-SED),  en el marco del convenio 551504 de 2018, suscrito entre la Secretaría de Educación Distrital y el Instituto Distrital de las Artes – IDARTES – Planetario de Bogotá, que tuvo vigencia hasta el 8 de febrero de 2018, se dio implementación al Centro de Interés en Astronomía con la atención inicial de 6, de las 11 Instituciones Educativas Distritales a focalizar para el 2019: Clemencia de Caicedo, El Japón, Integrada La Candelaria, Luis López de Mesa, Delia Zapata y San José Suroriental. La atención se dio entre el 29 de enero y el 8 de febrero de 2019. Luego de la terminación del convenio 551504 de 2018, se suscribió el convenio interadministrativo No. 868456, el 4 de marzo de 2019, en total en  lo corrido del año se registraron 23.394 asistencias a actividades lúdico-pedagógicas
Se destaca además en esta meta la asistencia de 12.662 personas en los laboratorios interactivos de arte, cultura científica y tecnología, y actividades como vacíø de videø: prólogo. Una investigación de Juan Orozco sobre David Larcher y su obra videøvoid, Encuentro Nerd – Bosques para el futuro, Actividad de acompañamiento al proceso interno con Comunicaciones del Idartes, Club de electrónica y hacktividad, Muestra de resultados. Laboratorio Tecnología, Artes Mediáticas, y Pedagogías Emergentes, Inauguración Muestra de resultados. Laboratorio SIMBIOSIS: Habitar – Reconocer, Lanzamiento laboratorio Performatico, Muestra de resultados Laboratorio Transjaquer, Inauguración. Muestra de resultados  laboratorio Klever Creación e Inteligencia Artificial, Muestra de resultados  laboratorio Klever Creación e Inteligencia Artificial, Transmisión conferencia Donna Haraway, Muestra permanente cine experimental A cargo Cineautopsia, Taller de Periodismo bastardo, mutante, fronterizo y forajido, Coloquio de Tecnologías y Ancestralidad, Encuentro Nerd Noise, HACKTIVIDAD, Bar de bacterias, Muestra de resultados. Laboratorio Transacciones de Ruido, Tomas sonoras, Conversatorio BREITBART RED -  The New Fascist Cultural Revolution (La Revolución cultural neofascista y el Taller de Síntesis Vectorial
</t>
  </si>
  <si>
    <t># laboratorios interactivos de arte, cultura (...) desarrollados</t>
  </si>
  <si>
    <r>
      <t>Desarrollar 10</t>
    </r>
    <r>
      <rPr>
        <sz val="10"/>
        <color rgb="FFFF0000"/>
        <rFont val="Calibri"/>
        <family val="2"/>
      </rPr>
      <t xml:space="preserve"> </t>
    </r>
    <r>
      <rPr>
        <sz val="10"/>
        <color rgb="FF000000"/>
        <rFont val="Calibri"/>
        <family val="2"/>
      </rPr>
      <t>laboratorios interactivos de arte, cultura científica y tecnología.</t>
    </r>
  </si>
  <si>
    <t>Dirección Línea ACT</t>
  </si>
  <si>
    <t xml:space="preserve">Durante los tres primeros trimestres de la vigencia 2019, el Instituto Distrital de las Artes en cumplimiento de la meta de “Desarrollar 10 laboratorios interactivos de arte, cultura científica y tecnología” ha realizado 7 laboratorios interactivos en torno al arte, cultura científica y tecnología, se encuentra en ejecución de 2 laboratorios y ha definido las acciones tendientes a la realización de 1 laboratorio restante. 
Los laboratorios realizados se describen a continuación
1. Laboratorio Interactivo “Tecnología, Artes mediáticas y pedagogías emergentes”, este primer laboratorio buscó explorar procesos creativos a partir del rescate de experiencias metodológicas en las relaciones entre arte y tecnologías, electrónica, música, escultura y artes sonora. A cargo de Manuel Orellana y Jesús Moreno, ganadores de la Beca Plataforma Bogotá en Arte, Ciencia y Tecnología 2018 – 2019, se realizó del 02 de marzo al 06 de abril de 2019, y contó con la participación de 12 ciudadanos.
2. Laboratorio Interactivo “Simbiosis-Habitar / Reconocer”, este laboratorio buscó reconocer las distintas formas de vida presentes dentro de un territorio mediante el uso del dibujo científico, el dibujo incubado y la macrofotografía y así entender patrones esquemáticos presentes en los organismos recolectados. Abordar desde otra perspectiva al concepto de investigación científica mediante el uso de tecnologías análogas y de bajo presupuesto o (low tech). Destacar la importancia de las formas de vida microbiana y su relevancia en todos los aspectos de nuestra vida. Dar una mirada a las diferentes herramientas que el arte y las ciencias brindan y que pueden ser aprovechadas en otras áreas de investigación, así como en la vida diaria, este laboratorio se realizó desde el 30 de abril al 23 de mayo y contó con la participación de 22 ciudadanos. 
3. Laboratorio Interactivo“De Co-creación Campo-Ciudad”, este es uno de los proyectos ganadores de la Beca Plataforma Bogotá en Arte, Ciencia y Tecnología del PDE 2018, en este se buscó el Fortalecimiento de oportunidades para el intercambio de conocimiento, el aprendizaje y la colaboración que permitan tejer lazos de interacción campo-ciudad. - Co-crear prototipos tecnológicos funcionales que puedan ser replicados y compartidos con otras comunidades rurales que enfrentan los mismos desafíos y conectar una red de actores desde Bogotá que contribuyan al desarrollo desde la ciencia, el arte y la tecnología a esa relación campo-ciudad. - Realizar un evento de socialización de los resultados del laboratorio que integre diferentes elementos artísticos, científicos y tecnológicos del proceso de co- creación de los prototipos, se contó con la participación de 20 ciudadanos y fue realizado desde el 30 de abril al 29 de junio de 2019.
4. Laboratorio Interactivo “Klever: Creación e Inteligencia Artificial”, este laboratorio propuesto indaga en la noción de inteligencia artificial desde la perspectiva de las ciencias computacionales. Se introducen disciplinas como el aprendizaje de máquina, Machine Learning, y el aprendizaje profundo basado en redes neuronales, Deep Learning. Los participantes tienen la oportunidad de explorar algoritmos, modelos probabilísticos, herramientas de software, sistemas cognitivos autónomos y problemas éticos y sociales, propicios para la creación en la danza, teatro, artes visuales, música y el diseño de interacción, Este laboratorio se encuentra ejecutado en su totalidad y fue realizado entre el 11 de junio al 18 de julio de 2019.
5. Laboratorio Interactivo “Todo es Radio. Mutaciones de la Radio (Salón Nacional de Artistas)”, en el marco de la 45a versión del Salón Nacional de Artistas, se realizó un encuentro de radios, donde se creó una meta-radio que puso en relación los diferentes usos y apropiaciones de las ondas. “Todo es radio”. Se realizaron programas (in-situ y vía streaming) con diversos actores de la escena de radios libres e independientes, igualmente se compartió los hallazgos de la investigación dirigida por el colectivo Muto La Radio. El laboratorio fue desarrollado desde el 2 al 6 de septiembre de 2019 y contó con 21 ciudadanos participantes. 
6. Laboratorio interactivo “Ruido y Política”,  a cargo de Corazón de Robota, el cual se propuso como un laboratorio de creación de máquinas especulativas y pensamiento crítico alrededor de la participación del ruido en nuestra sociedad actual. Se buscaron códigos y relaciones entre las personas: El ruido como la diferencia, lo subversivo, lo marginal, lo anormal, lo raro, lo cuir, lo carente de sintaxis y como una acción de respuesta al capitalismo, este laboratorio fue desarrollado entre el 18 y 30 de septiembre y se contó con la participación de 16 ciudadanos.
7. Laboratorio interactivo “A la orden, que se le ofrece”  realizado por Silvia Montilla,  ganadora  de la beca  Residencia Plataforma Bogotá - Exploratorio (Medellín) del Programa Distrital de Estímulos 2019, estuvo desarrollando su laboratorio: “A la orden: ¿Qué se le ofrece?”, en donde la artista propuso visitar varias plazas de mercado tradicionales y establecer procesos e intercambios de saberes con estas comunidades desde el uso de  técnicas fotográficas antiguas como la serigrafía y el cianotipo. Este proceso fue desarrollado del 02  al 23 de septiembre de 2019 y contó con la participación de 26 ciudadanos, sumado a lo anterior la muestra de resultados de este laboratorio se realizará en Plataforma Bogotá aproximadamente el 15 de octubre de 2019.
Los 2 laboratorios interactivos que se encuentran en desarrollo se relacionan a continuación: 
8. Laboratorio Interactivo “Periodismo y Performance”, Este Laboratorio busca desarrollar una invitación pública y abierta de proyectos de producción artística inéditos y a desarrollar, que crucen el periodismo y las artes vivas y busquen una expresión a través de nuevos dispositivos y lenguajes. Los cruces podrán ser entre periodismo y artes plásticas, fotografía, cine, teatro, performance, danza, música, electrónica, o cualquier otra disciplina del arte. Se enfatiza que es periodismo, relatos sobre la realidad con base en fuentes, datos, documentos. Será relevante para la selección de las propuestas, la pertinencia de los temas propuestos en los proyectos, dando prioridad a los que propongan temas relacionados con la agenda pública contemporánea. Este laboratorio se viene desarrollando desde el día 15 de agosto y se tiene prevista su finalización para el 17 de octubre de 2019, a la fecha se ha desarrollado aproximadamente el 70% del proceso, y se encuentra pendiente de definición la fecha de presentación de muestra de resultados del mismo.  
9. Laboratorio Interactivo “Google - Algoritmos &amp; Storytelling”, para la realización de este laboratorio, se han realizado reuniones virtuales con representantes de Google AIM (Artists and Machine Intelligence) como invitados, para explorar otros ámbitos de creación, incluidas las nuevas narrativas en el cine. Se viene desarrollando con el acampamiento de la Gerencia de Artes Audiovisuales en las instalaciones de la Nueva Cinemateca de Bogotá, y se espera finalizar los contenidos del mismo en el mes de octubre de 2019. 
El laboratorio que se encuentra en proceso de definición se presenta a continuación: 
10. Laboratorio Interactivo “Realidad virtual-Ficciones-Afro-futurismo”, Laboratorio que se realizará con la participación de realizadores africanos de realidad virtual, artistas multidisciplinares, activistas de género, productores musicales, cineastas de ficción y de realidad virtual. Respecto a la fecha de realización del laboratorio, se está trabajando en la definición de las mismas, esto debido a algunos cambios inesperados en la coordinación del proyecto CKWEB
</t>
  </si>
  <si>
    <t>A la fecha se presentan retrasos en la definición de las fechas de realización de dos laboratorios;  Afro futurismo y  Google - Algoritmos &amp; Storytelling que se encuentran a cargo del equipo de CKWEB. Los retrasos se presentan porque dos personas de ese equipo solicitaron terminación anticipada de mutuo acuerdo. Se espera que la persona que queda en el equipo, continúe las gestiones pertinentes.</t>
  </si>
  <si>
    <t># proyectos interinstitucionales (...) desarrollados</t>
  </si>
  <si>
    <t xml:space="preserve">AVANCES Y LOGROS </t>
  </si>
  <si>
    <t>1017 - Arte para la transformación social: Prácticas artísticas incluyentes, descentralizadas y al servicio de la comunidad</t>
  </si>
  <si>
    <t>Desarrollar 4 proyectos interinstitucionales para la transformación social a través de las artes.</t>
  </si>
  <si>
    <t>Dirección  (Línea ATS)</t>
  </si>
  <si>
    <t xml:space="preserve">Durante el tercer trimestre del año 2019 el Instituto Distrital de las Artes, en avance del cumplimiento de la meta de “Desarrollar 4 proyectos interinstitucionales para la transformación social a través de las artes”, se encuentra en  desarrolló de 3 proyectos y adelanta acciones de planeación y definición  de 1 restante: 
1. Convenio Interadministrativo marco Idipron – Idartes No. 004 de 2017 a través del cual se adelantan acciones, actividades, proyectos y/o eventos a través de la articulación del arte y la cultura, vinculando mediante procesos de inclusión social y la garantía del goce efectivo de los derechos a niños, niñas, adolescentes y jóvenes en alto grado de vulnerabilidad social. En este sentido se  adelantaron acciones de planeación y concertación que dieron como resultado la versión del plan de acción de las actividades que se desarrollan en la presente vigencia, en este caso la propuesta se centró en fortalecer los procesos de formación y de habilidades artísticas con énfasis en preparación actoral. Además durante el primer semestre del año se definió la intervención integral a 60 niños, niñas, jóvenes y adolescentes del Idipron, por medio de la formación y el fortalecimiento de habilidades artísticas con énfasis en la preparación actoral a través de  talleres de arte dramático y ensayos la creación de una puesta en escena de gran formato y la circulación de ésta. 
Las actividades que han sido ejecutadas a tercer trimestre del año, son las relacionadas con los talleres de arte dramático que a la fecha reporta la culminación de las 16 sesiones que desarrollaron competencias de improvisación, voz, creación, lectura, interpretación y expresión corporal de los NNAJ, en esta ocasión, el nombre elegido por los NNAJ para la puesta en escena es Diario de barrio, ya que refleja el día a día de los jóvenes, sus historias y desafíos personales. De igual forma, se prevé la circulación como resultado del proceso de formación en 4 escenarios, inicialmente, en el mes de octubre en la UPI del Perdomo, el Teatro La Victoria de Cultura en Común y en el Teatro Jorge Eliécer Gaitán, finalmente, para el mes de noviembre se proyecta realizar la puesta en escena en el Teatro Servitá
2. Convenio Marco Interadministrativo de Cooperación Idartes- Secretaría Distrital de Gobierno (SDG), No 003 de 2017 a través del cual se desarrollan estrategias de acción a nivel distrital en la promoción y reconocimiento de la convivencia y el diálogo social en el marco de la garantía de derechos a través del poder transformador de las artes; dentro de los avances más importantes del convenio en la vigencia 2019 se encuentran: la articulación con el proyecto Festivales al Barrio 2018, en el marco de la ejecución de los estímulos asignados a  agrupaciones de 15 localidades de Bogotá, además en el desarrollo de convenios operativos del convenio en el año 2019 se evaluaron las acciones adelantadas desde el proyecto Festivales al Barrio, en este sentido se desarrolló en el mes de julio  el módulo de formación “Decido ser: Memoria para promover la convivencia y el auto-reconocimiento”  como un modelo que conjugue la metodología de transferencia adelantada por Secretaria de Gobierno en los módulos ofrecidos a la Red de Organizaciones Defensoras de Derechos Humanos del Distrito y las jornadas de formación para la Beca Festivales al Barrio, espacio de producción de conocimiento para el fortalecimiento de los colectivos organizadores de festivales barriales en la ciudad, se contó con 42 beneficiarios que atendieron a la actividad que se llevó a cabo en el Teatro R-101.
Uno de los objetivos más importantes en el desarrollo del convenio en la presente vigencia, es instalar capacidades para la interlocución de organizaciones locales e instituciones distritales con un acercamiento asertivo de las instituciones distritales a los territorios de la ciudad y sus procesos organizacionales. 
3. Convenio Interadministrativo Idartes y la Secretaría Distrital de Seguridad, Convivencia y Justicia, No 0810 de 2019 a través del cual  se adelantan actividades, proyectos y/o eventos a través de la articulación de acciones dentro del contexto del arte para la transformación social, a partir de prácticas artísticas incluyentes, descentralizadas y al servicio de la comunidad, como reconocimiento de su papel transformador en los procesos de construcción de ciudadanías e identidades dirigido a la población objetivo de la Secretaría Distrital de Seguridad, Convivencia y Justicia. El 10 de abril 2019, la Secretaría Distrital de Seguridad, Convivencia y Justicia  - SDSCJ, y el Instituto Distrital de las Artes -IDARTES-, suscribieron el Convenio Interadministrativo No 0810 de 2019, con un plazo total de ocho (08) meses, suscribiéndose el acta de inicio el 15 de abril, es decir hasta el 14 de diciembre de 2019.
Para el tercer trimestre del año se realizó un total de 47 talleres con lo cual se da cumplimiento a lo cantidad de grupos estipulados en el Convenio. En el periodo de tiempo del presente informe se hicieron los ajustes para iniciar los siguientes talleres: un grupo de teatro en Casa Libertad, un grupo de arte para actoras de justicia comunitaria, dos grupos de teatro en la URI de Puente Aranda, dos talleres de arte en OPAN Casa Taller y un taller de danza y uno de artes electrónicas en el centro IP la Acogida.
En cuanto al proyecto interinstitucional faltante en este tercer trimestre se adelantan conversaciones para posibles proyectos de articulación para eventos académicos de intercambio de saberes con la Universidad Nacional de Colombia, Facultad de Arte y Ciencia y con la Biblioteca Luis Ángel Arango.
</t>
  </si>
  <si>
    <t xml:space="preserve">Por parte del Convenio 004, algunos inconvenientes que se encontraron,  fueron  relacionados con la participación de los NNAJ para participar en los talleres de arte dramático por ser población flotante, sin embargo, el grupo se ha consolidado y las ausencias que se han presentado se han puesto al día en su formación y se han generado estímulos como visitas de motivación a teatros y espacios culturales de Idartes y la metodología y tiempos se han adaptado a las condiciones de flexibilidad que requiere el trabajo con este tipo de población.
Frente al alcance de la meta faltante de proyectos interinstitucionales, se han llevado a cabo conversaciones para la posibilidad de proyectos interadministrativos con La Comisión de la Verdad y la Alta Consejería para los Derechos de las Víctimas, la Paz y la Reconciliación. También se llevaron a cabo acercamientos sobre la posible alianza con la Secretaría Distrital de Gobierno, Departamento Administrativo del Espacio Público (DADEP) para formalización de artistas en espacio público.
Se han adelantado acciones puntuales de colaboración con la Comisión de la Verdad, en el marco del Seminario Internacional, pero no se logró concretar el proyecto pensado para la formulación de una beca conjunta dados los cortos tiempos de ejecución y presupuesto, pero se dejará planteada la cartilla para el 2020.
</t>
  </si>
  <si>
    <t xml:space="preserve"># proyectos de carácter comunitario apoyados </t>
  </si>
  <si>
    <t>Apoyar 5 proyectos de carácter comunitario que tengan como propósito incidir en la transformación social.</t>
  </si>
  <si>
    <t xml:space="preserve">Durante el tercer trimestre del año 2019 el Instituto Distrital de las Artes, en avance del cumplimiento de la meta “Apoyar 5 proyectos de carácter comunitario que tengan como propósito incidir en la transformación social”, ha desarrollado actividades de ejecución en 5 distintos proyectos: 
1. Idartes Rural programa que tiene como objetivo el fortalecimiento de los procesos artísticos y culturales de estas poblaciones, aportando al reconocimiento de los territorios rurales y sus habitantes, así como a la construcción colectiva de memoria, generando espacios, interacciones y mutuo enriquecimiento de estas localidades. El público objetivo de Idartes Rural son los habitantes de las zonas rurales de Bogotá en las localidades de Usme, Suba, Ciudad Bolívar, Chapinero, Santa Fe, Sumapaz, San Cristóbal, Usaquén y Bosa. El programa para este año cuenta con tres componentes distintos, por un lado la Beca Idartes Rural, por otro lado un proyecto de formación en la Vereda el Verjon localidades Chapinero y Santafe y un proyecto de caracterización en la localidad de Usme. 
Con corte al tercer trimestre de la vigencia se adelantaron las siguientes acciones: en la Beca Idartes Rural difusión y socialización de esta en la Mesa Rural de Chapinero, Mesa Sectorial de Sumapaz, Mesa Sectorial de Chapinero, Casas de la Cultura, Mesas territoriales, emisoras locales, y se  organizaron socializaciones con agrupaciones y organizaciones interesadas en participar. También se realizó difusión, el 24 de mayo se cerró la inscripción con 33 participantes de las zonas rurales de Sumapaz, Chapinero, Usme y Ciudad Bolívar. De estos, quedaron habilitadas para evaluación 11 propuestas. La deliberación de ganadores de esta beca se realizó el 2 de julio y se entregaron 2 estímulos de 20 millones de pesos cada uno, anunciando a la Corporación Campesina Mujer y Tierra de la zona rural de la localidad de Usme, y a la Corporación Memoria y Saber Popular de la zona rural de la localidad de Ciudad Bolívar, se recibieron los documentos formales de cada ganador para efectos del primer desembolso, y se realizó la primera reunión de ejecución con cada uno, con el fin de aclarar aspectos relacionados con la ejecución de la beca y con los entregables relacionados. También se revisaron y se aprobaron los cronogramas y las piezas gráficas de cada proyecto, de la primera organización, a la fecha se han realizado 7 sesiones de formación con la participación de un aproximado de 10 personas en cada sesión, las cuales pertenecen a la comunidad de la vereda Pasquillita, de la segunda el 21 de septiembre se realizó el primer evento que consistió en un trueque de productos campesinos y productos urbanos. En el marco de este se realizaron muestras de danzas campesinas a cargo de dos grupos de danza de la localidad y un grupo de música campesina.
En el proyecto de Formación en el Verjon se suscribió el contrato N° 1290 del 2019 con la Fundación Río al Sur que busca  con la realización de 3 talleres artísticos (música, artes plásticas y danza) en esta vereda. La ejecución de las actividades comenzó el 18 de mayo con la primera jornada de socialización del proyecto, y se realizaron  las sesiones de los 3 talleres con la participación de niños y niñas pertenecientes a la comunidad de la vereda el Verjón. El 9 de junio se realizó la primera actividad de circulación a través del concierto “El Pescador” de Elsy Valencia y cielo de tambores en el marco de la Feria de servicios Institucionales organizada por la Mesa Rural de Chapinero, a la cual asistieron aproximadamente 36 personas de la comunidad. El 25 de agosto se realizó la muestra final de resultados del proceso y se llevaron a cabo las presentaciones de cada uno de los talleres y participaron agrupaciones musicales y grupos de danza invitados. Asistieron 86 personas a la actividad y fueron beneficiados con remuneración 15 artistas. El jueves 12 de septiembre se radicó el último informe de gestión relacionado con la ejecución del contrato, y se recibieron a conformidad los productos entregables de la memoria social del proceso, que fueron un video y una revista que resume y hace un análisis del impacto del proyecto desde los testimonios de la comunidad beneficiada
 Finalmente, En el proyecto de Caracterización en la localidad de Usme se inició el proceso contrato 1518 con la organización Pronartes relacionado con la realización de 14 talleres a través de los cuales se identifique y recopile la memoria colectiva local relacionada con las prácticas artísticas y culturales en la zona rural de la localidad de Usme. La ejecución de las actividades comenzó el 6 de julio con la primera jornada de socialización del proyecto, en la cual participaron 67 personas y 6 artistas fueron beneficiados con remuneración. A la fecha se han realizado 10 charlas de sensibilización de los talleres y 42 sesiones de los talleres que se han enfocado en danza, artes plásticas y oralidad. En los talleres participaron un aproximado de 20 personas por taller, las cuales pertenecen a la comunidad rural de la localidad de Usme y el evento de cierre y muestras finales se llevará a cabo el 3 de octubre.
2. Beca de Creación Parques Para Todos tiene como propósito resignificar el territorio desde la práctica artística aficionada, en este caso, los parques. Para el 2019 y con el ánimo de acercar la beca a los territorios de los parques priorizados en el 2019, se proyectó la beca para agrupaciones de mínimo cinco integrantes con experiencia de mínimo 3 años en la localidad a la que se postulan; en esta vigencia  se hicieron diferentes ajustes a la misma, como, parques priorizados, precisiones en el lenguaje de la beca y formatos, manteniendo el carácter experimental, participativo y territorial, se inscribieron 54 propuestas, de las cuales 17 pasaron a proceso de evaluación, donde se declararon seis propuestas ganadoras para los parques de Carbonell y La Tingua Tibanica en Bosa, Villa de la Torre en Kennedy, La Victoria en san Cristóbal, Amberes-Rincón en Suba, Usme Centro en Usme. Para los parques que quedaron desiertos, se decidió hacer reapertura de la Beca en el mes de Julio y poder así generar nuevas becas para el resto de los 8 parques. En el tercer trimestre se adjudicaron seis de los catorce estímulos, a quienes se les hizo el primer desembolso para la ejecución de los laboratorios. Posterior, se hizo reapertura de la beca para los ocho parques faltantes, de los cuales se adjudicó ganadores para seis parques, quedando dos parques desiertos, las doce agrupaciones ganadoras, conformadas por artistas y líderes culturales con experiencia en la localidad a la que se postularon, desarrollaron en este periodo actividades artísticas y laboratorios creativos, donde se destaca el carácter interdisciplinario e intergeneracional. Recopilación y exposición de memorias orales sobre la historia del parque a través de títeres, instalaciones efímeras en el espacio público para visibilizar los sueños de niñas y niños, construcción de objetos musicales con material reciclado son ejemplos de las actividades que se desarrollaron los fines de semana en los parques priorizados.
En total a la fecha se reportan 5.311 beneficiarios de las diferentes actividades propuestas en el marco de las becas de Creación Parques para Todos
3. Beca Arte Para la Transformación Social tiene como objetivo apoyar a organizaciones y agrupaciones artísticas que están desarrollando proyectos en entornos comunitarios y que han obtenido resultados en términos de transformación social a través de las artes en el territorio, a partir de la aplicación de metodologías factibles de desarrollo con otros grupos comunitarios, para el 2019,  se  otorgaron  4 estímulos por valor de $10.000.000 cada uno a las  agrupaciones Colombians Break Dance Crew  quienes a la fecha  y Libertades en Letras, y a las organizaciones Corporación Cartografía Social y Fundación Teatro Quimera. A la fecha Se recibieron los documentos formales de cada ganador para efectos del primer desembolso, y se realizó la primera reunión de ejecución con cada uno, con el fin de aclarar aspectos relacionados con la ejecución de la beca y con los entregables relacionados. También se revisaron y se aprobaron los cronogramas y las piezas gráficas de cada proyecto y de esta manera se comenzó el desarrollo de los distintos proyectos en los territorios. 
A la fecha en los 4 proyectos se han realizado 55 actividades con la participación de 238 personas. 
4. Diálogos para la transformación social desde el arte y la cultura iniciativa que tiene por objeto realizar procesos de fortalecimiento de capacidades a líderes culturales y artistas que, a través de sus actividades, realizan procesos de transformación social en sus territorios, para este año, se espera el desarrollo del laboratorio de formación denominado “Diálogos para la transformación social”, el cual se compone de un diagnóstico inicial de los participantes, el fortalecimiento de capacidades de liderazgo, la generación de espacios de encuentros inspiradores y la realización de circuitos y/o rutas artísticas en diferentes localidades de Bogotá. Durante el tercer trimestre, se llevó a cabo la firma del contrato de apoyo a la gestión No. 1541 de 2019 con la Corporación El Eje Creatividades, a partir de esta fecha se inició con la convocatoria de los líderes y artistas culturales que estaban interesados en participar de este proceso, se inscribieron alrededor de 79 líderes y artistas de todas las localidades, 
A la fecha se ha desarrollado en un 100% el componente I. Identificación – cartografía, en el mismo participaron alrededor de 15 líderes y artistas en el componente que tiene por objeto identificar las experiencias, prácticas e iniciativas de los líderes culturales y artistas que hacen parte del laboratorio y construir a partir de ellas la cartografía inicial del proceso.
Por su parte, el componente II. Empoderamiento y liderazgo cultural y artístico, ha contado con la participación de aproximadamente 14 líderes y artistas en cada una de sus sesiones, las cuales han tenido por objeto fortalecer por medio de procesos de formación no formal el liderazgo de los participantes del laboratorio, generando capacidades por medio del empoderamiento y el diálogo que generan transformación social, hasta la fecha de corte del presente informe estas hacen parte del 60% de ejecución del total del componente.
5. Seminario Internacional cultura y arte para la transformación social constituido como un espacio de intercambio y reconocimiento de aprendizajes conceptuales, pedagógicos y experienciales que a nivel internacional, nacional y distrital se han venido construyendo, en la perspectiva de la transformación social. Durante el tercer trimestre, en el mes de agosto, se firmó el contrato con el apoyo a la gestión la organización Más Cultural, quien apoyó la ejecución de la tercera versión del Seminario del 28 al 30 de agosto en las instalaciones de la Biblioteca Luis Ángel Arango como escenario principal, desarrollando los ejes temáticos seleccionados para el 2019, los cuales son: Mediación, Colaboración y Formación, a través de la metodología de ponencias internacionales y nacionales, conversatorios, encuentros, circuitos, laboratorios y presentaciones culturales que generaron un espacio de reflexión en torno al arte, la cultura y la formación, se contó con 15 eventos, entre circuitos, encuentros, talleres y experiencias colaborativas y 5 presentaciones artísticas. 
Se reportan 1.162 beneficiarios de las diferentes actividades propuestas en el marco del Seminario Internacional Cultura &amp; Arte para la Transformación Social, incluidos los 3 días de seminario, los 8 talleres, los 3 encuentros, 3 circuitos y el evento de inauguración de EsCena para invitados. 
</t>
  </si>
  <si>
    <t xml:space="preserve">1. Idartes Rural en el componente de la beca Idartes Rural las dificultades presentadas  con la convocatoria están relacionadas con la dificultad de acceso a internet y plataformas digitales por parte de los colectivos y organizaciones artísticas, y también con el escaso conocimiento sobre presentación de proyectos culturales que tienen los líderes y artistas de las zonas rurales. Una solución para incrementar la participación a esta beca, fue realizar en todas la zonas rurales de Bogotá, previo a la convocatoria, talleres formativos relacionados con presentación de proyectos. Para este año, el apoyo de la estrategia “Artífice” con acompañamiento técnico y el apoyo y socialización por parte de los gestores de la Linea ATS en territorio, han ayudado a hacer presencia y socialización en más espacios.
2. Beca de Creación Parques Para Todos se presentaron algunas dificultades con el acceso y manejo de la plataforma web de inscripción de las propuestas, mala redacción de las propuestas y coherencia de estas con los postulados de la convocatoria. Hubo un gran índice de propuestas rechazadas, que evidencian las bajas capacidades lectoras, de escritura y formulación de proyectos, que es una constante en el sector y que se ha venido abordando mediante el desarrollo de talleres de formulación de proyectos, talleres de escritura, por parte de otras entidades y que, igualmente obliga a la beca por un lado a desarrollar talleres de formulación de proyectos previo a la apertura de la beca y por otro lado,  diseñar instrumentos de fácil lectura y comprensión por parte de las comunidades. Además Ante los resultados de la convocatoria, se declararon desiertos ganadores para 8 parques y se proyectó la reapertura de la beca para el mes de julio, disminuyendo el tiempo de ejecución para quienes resulten ganadores de la convocatoria
3. Beca Arte Para la Transformación Social la dificultad presentada está relacionada con el alto número de propuestas rechazadas lo que indica que se debe hacer una revisión en cuanto a los documentos de evaluación que se solicitan a los participantes, y en cuanto a la claridad del texto de la beca. También es importante hacer un llamado a los artistas y organizaciones culturales para que siempre solicitan certificados de las acciones que realizan para que así cuenten con documentación formal que acredite sus proyectos y su trayectoria, Sumado a lo anterior, algunos ganadores, al momento de presentar los informes cuantitativos, presentan dificultades ya que no tienen conocimiento suficiente de los formatos y protocolos para el reporte de actividades en este informe. Se sugiere realizar jornadas de capacitación administrativa, y de entregables, con los ganadores de las becas antes de comenzar las ejecuciones.
4. Diálogos para la transformación social desde el arte y la cultura la dificultad está relacionada con el proceso contractual, el mismo se esperaba que iniciara ejecución desde el mes de mayo sin embargo la contratación se llevó a cabo en junio, debido a los tramites precontractuales necesarios para su desarrollo; adicionalmente, la convocatoria de los 55 líderes planeados inicialmente en el contrato ha representado un reto, ya que la participación oscila entre los 15 y 18 participantes, estos han mostrado su interés real y satisfacción del proceso.  
5. Seminario Internacional cultura y arte para la transformación social la principal dificultad identificada está relacionada con el proceso contractual, de otra parte El seminario plantea para próximas ediciones retos en un espacio más adecuando para los formatos de presentaciones académicas y culturales, así como mayor y más oportuna difusión de los contenidos e invitados y otras nuevas articulaciones a nivel Institucional con unidades de gestión del Idartes.
</t>
  </si>
  <si>
    <t xml:space="preserve"># de asistencias a las actividades artísticas programadas en las 20 localidades … </t>
  </si>
  <si>
    <t>Alcanzar 1.100.000 asistencias a las actividades artísticas programadas en las 20 localidades destinadas a la transformación social de los territorios.</t>
  </si>
  <si>
    <t>Dirección (Arte para la transformación)</t>
  </si>
  <si>
    <t xml:space="preserve">Durante los tres primeros trimestres del año 2019 el Instituto Distrital de las Artes en ocasión al cumplimiento de la meta “Alcanzar 1.100.000 asistencias a las actividades artísticas programadas en las 20 localidades destinadas a la transformación social de los territorios”, alcanzó 934.700 asistencias en el desarrollo de 9.356 actividades en las localidades de la ciudad. Las actividades desarrolladas objeto de las asistencias se realizaron a través de 6 gerencias artísticas, el equipo poblacional, la Línea Estratégica Arte Para la Transformación Social y el programa Crea a través de la línea (Laboratorio Crea), el detalle de asistencias por área se presenta a continuación:
• Artes Plásticas y Visuales, se desarrollaron actividades como la inauguración de la nueva Sede de la Galería Santafé ubicada en la Plaza de la Concordia de la localidad de la Candelaria,  en ella se presentaron las exposiciones Claustros, liceos y gimnasios de Juan David Laserna, y Cuerpo social, político y crítico de la VI Bienal de Performance PerfoArtnet 2018,  por otro lado se desarrollan actividades asociadas al proyecto Red Galería Santafé como conjunto de acciones, planes, proyectos, y espacios que se articulan para fomentar el intercambio de saberes y prácticas en el campo de las artes plásticas y visuales de la ciudad, además de la Escuela de Mediación de la Galería Santafé con laboratorios como Ciudad Potencial, sumado a ello el 45 SNA Salón Nacional de Artistas, además el Programa Artbo Tutor, el Convenio de Cooperación No. 01511700 con el Banco de la República, Proyecto Distrito Grafiti, y la reactivación del Centro de Documentación de la Galería Santa Fe Concordia, en total la gerencia en los tres primeros trimestres del año registró 121.985 asistencias en sus actividades.
• Literatura, se desarrollaron programas como Bogotá Contada, donde se realizan actividades en torno a la apropiación de la literatura con la visita de autores a la ciudad, Picnics Literarios de Gran Formato realizados el 31 de marzo y 4 de agosto de 2019 con actividades como trueques literarios, talleres de dibujo,  talleres de cuentos, juegos literarios, lecturas dramáticas, presentaciones y conciertos, de otro lado se realizaron actividades de circulación como la Feria Popular del Libro, y la Feria del Libro de Bogotá que conto con dos frentes la agenda de Corferias con 183 eventos, y Filbo en la ciudad con 111 eventos; de otro lado a través de la Casa de Poesía Silva se realizaron talleres de formación, Biblioteca, Fonoteca, Visitas Guiadas, y promoción del poesía; además las actividades realizadas en el marco de septiembre literario donde se reportan hasta el momento 9 actividades (1 presentación artística (recital de poesía) y 8 conversatorios) en 5 localidades y lectura bajo los árboles, en total la gerencia durante los tres primeros trimestres del año alcanzó 163.634 asistentes a sus actividades.
• Danza, a través del programa Orbitante, Plataforma Danza Bogotá, se desarrollaron actividades en 5 localidades, asociadas a reuniones, procesos curatoriales, residencias, procesos de creación, funciones, asesorías coreográficas, pasantías y laboratorios,  a través del programa Difusión Danza en la ciudad se realizaron actividades en 7 localidades de la ciudad se desataca Día Internacional de la Danza, Dia de la Afrocolombianidad, Gala Danza Mayor, y las audiciones de Folclor y Danza Mayor, a través del Programa Danza y comunidad se dieron actividades en 6 localidades se desataca Danza y Salud, ensayos ocasionales, Habitar mi Cuerpo y Archivo Vivo, En total la Gerencia alcanzó 18.825 asistentes en sus actividades para los tres primeros trimestres del año.
• Arte Dramático, se desarrollaron actividades como el Diplomado actividades de formación y circulación para jóvenes creadores Alteratro, este proceso conto con laboratorios y  el Encuentro, sumado ello se realizó el proceso de formación en técnicas de acrobacia para la escena, además de formación, creación y circulación asociadas a las prácticas artísticas Circenses y actividades con enfoque poblacional y territorial “ Teatro a la mano” y “ teatro en Comunidad”, actividades de 33 contratos de interés público a través del Programa Distrital de Salas Concertadas, en total la Gerencia alcanzó 136.691 asistencias en sus actividades durante los tres primeros trimestres del año. 
• Artes Audiovisuales, Se realizó la Inauguración de la Nueva Sede de la Cinemateca de Bogotá, espacio en el cual se puso a disposición de la ciudad 8500 mts2 para el desarrollo de las prácticas y promoción de las Artes Audiovisuales en la ciudad, además se desarrollaron acciones como Públicos y saberes que contó con actividades como Formación de Públicos, Vive la Cinemateca y Cátedra Cinemateca, sumado a  estos a través de la acción formas de Ver se desarrollaron actividades como la Programación de Salas (Muestras Especiales, franjas, Ciclos especiales y retrospectivas y Festivales), Pelis Por Bogotá y Salas Asociadas, además a través de archivo Vivo y memoria se desarrollaron actividades en torno a la preservación y de formación en patrimonio audiovisual en la Biblioteca Especializada Becma y  a través de Creación y Experimentación, actividades como Cinemateca Rodante, Talleres, Microtalleres y Laboratorios, Residencias, #Dastos y Relatos, maratones creativas y Club de programación, en total la Gerencia obtuvo para los tres primeros trimestres del año 82.909 asistentes. 
• Música, asociado al primer componente que desarrolla el área denominado festivales al parque se desarrollaron durante el periodo enero - septiembre  actividades en el marco de los festivales Rock al Parque para su versión No 25, Colombia al Parque y Jazz al Parque, además de las acciones de planeación para la realización de Salsa al Parque y Hip Hop al Parque, de otra parte el componente denominado actividades circulación en el cual se articula el compilado Bogotá Suena, desarrolló toda la fase de masterización y entrega de Bogotá Suena Volumen 3, en Relatos Mayores, Serenatas al Centro y en Clave de Calle se realizó todo el proceso de invitación pública, de otro la en Bogotá Ciudad Creativa de la Música donde se desarrolló la fase de formulación del Plan Estratégico, y se participaron en seminarios internacionales, y se confirmó la participación de la ciudad en la acuerdos con ciudades como Lyon y Berlin; a su vez en el componente de formación e investigación se avanzó en la proyección del documento misional que da estructura al programa de formación y cualificación que desarrollará los módulos Enfoca, Modulación, Plantario y Seremus, de los cuales ya se cuenta con cronogramas y contenidos de módulos y foro , en total durante los tres primeros trimestres del año 2019 la gerencia logró 381.167 asistentes en sus diferentes actividades.   
• Poblaciones (Sectores Sociales y Grupos Étnicos), durante los tres primeros trimestres de la vigencia 2019 la línea poblacional de la entidad obtuvo 11.620 asistentes en acciones de reconocimiento de las prácticas artísticas de grupos étnicos, etareos y sectores sociales, se destacan actividades como el Laboratorio de Arte con Personas con Discapacidad y Personas Cuidadoras, la estrategia territorial Artífices, y la Estrategia habitar Mis Historias: Laboratorio con Personas Habitantes de Calle, Escuela de arte y oficios trans, Estreategía Seres: Procesos de gestión cultural y artpistica con Sectores Sociales, participación en Filbo 2019, Becas dirigidas a población Afrodescendiente en Oraliteratura, circulación de ensamble y nuevas formas de visibilidad, exposición Other Another, presentación territorio, cuerpo ancestral, taller la música cida, taller Quimbaya y el taller la paz se toma la palabra, entre otras. 
• Línea Estratégica Arte Para la Transformación Social, se destaca la realización de actividades a través del programa Idartes Rural, a través del cual se desarrollaron talleres de danza, música, artes plásticas y visuales, y procesos de sensibilización dirigidos a comunidades rurales y campesinas en las zonas rurales de las localidades de Santafé y Chapinero, además de las actividades de la beca, por otro lado  a través del programa Parques Para Todos específicamente en la Beca de Creación Parques Para Todos se desarrollaron encuentros en arte para la transformación social, talleres y laboratorios, con las comunidades de las localidades de Los Mártires, Usme, Ciudad Bolívar, Bosa, Kennedy, San Cristóbal, la Candelaría y Suba; sumado a ello actividades artísticas en el marco de los convenio interadministrativos 003 de 2017 y 004 de 2017, las actividades realizadas en el marco del III Seminario Internacional Cultura &amp; Arte Para la Transformación Social, en total durante los tres primeros  trimestres de 2019 la línea registró 15.718 asistentes en sus actividades. 
• Programa Crea, a través de la línea laboratorio Crea en términos operativos y de gestión se han realizado nuevas alianzas y se han consolidado convenios interadministrativos con la Secretaría de Seguridad Convivencia y Justicia, en donde se contrataron artistas especializados para trabajar con población privada de la libertad y jóvenes en el proceso de responsabilidad penal. De igual manera se han realizado alianzas con el Centro Nacional de Memoria Histórica para trabajar con personas excombatientes y para realizar procesos de formación a formadores, además a la fecha se cuenta con 127 grupos consolidados en 20 centros Crea de las localidades contando con 2.467 asistentes en los distintos procesos de formación.
De otra parte, la composición poblacional de los asistentes de las actividades desarrolladas desde las gerencias, línea estratégica Arte para la Transformación Social, línea poblacional y laboratorios del programa Crea asociadas al proyecto de inversión 1017, se describen a continuación: se disponen entre los ciclos vitales así: madres gestantes 1.623 , primera infancia 10.080, infancia y adolescencia 44.404, juventud 58.129, personas adultas 95.605, personas adultas mayores 25.819; en cuanto a Sector social, Comunidad Rural y Campesina 2.203, Personas en ejercicio de la prostitución 108, personas habitantes de calle 455, Mujeres 182.619, personas con discapacidad 1.109, personas privadas de la libertad 1.512, Sectores LGBTIQ 2.588, Personas Víctimas del Conflicto Armado 1.342, población migrante 730, personas Victimas de Trata 40; a su vez las asistentes por grupo étnico fueron: población Afrocolombiana 603, Comunidad Negra 417, Población Palenquera 281, Pueblo Rrom 178, Pueblos indígenas 439 y Población Raizal 7.
Sumado a lo anterior las asistencias generadas a través de las actividades del proyecto de inversión 1017 se desarrollaron en cada una de las 20 localidades de la ciudad, se resalta además las atenciones que se han realizado en las zonas rurales de la ciudad.
</t>
  </si>
  <si>
    <t>No se registran retrasos en la meta del proyecto</t>
  </si>
  <si>
    <t>Sub. Artes (poblaciones)</t>
  </si>
  <si>
    <t xml:space="preserve">Sub. Artes </t>
  </si>
  <si>
    <t>Artes Audiovisuales</t>
  </si>
  <si>
    <t>Artes Plásticas y Visuales</t>
  </si>
  <si>
    <t>Danza</t>
  </si>
  <si>
    <t>Literatura</t>
  </si>
  <si>
    <t>Música</t>
  </si>
  <si>
    <t>CREA</t>
  </si>
  <si>
    <t xml:space="preserve"># actividades artísticas incluyentes y descentralizadas (…) realizadas </t>
  </si>
  <si>
    <t>Realizar 11.100 actividades artísticas incluyentes y descentralizadas para la transformación social en las 20 localidades.</t>
  </si>
  <si>
    <t xml:space="preserve">Los retrasos por unidad de gestión asociados a la presente meta se presentan a continuación: 
• Artes Audiovisuales, en el proyecto Pelis por Bogotá se tuvo que retrasar su inicio dos fechas a causa de retrasos administrativos y de contratación. Fue necesario correr todo el cronograma. Sin embargo, en este momento la situación ya está solucionada y esas dos fechas se reprogramaron. De otro lado en el proyecto de Creación y Experimentación presentó una serie de retrasos durante la planeación y posterior ejecución de algunas de sus actividades mientras se viabilizaban los procesos de contratación para las actividades, del mismo modo a causa de la planeación de la inauguración de la cinemateca, se generaron retrasos para la divulgación de las actividades programadas para ejecutarse a partir de la apertura de la nueva infraestructura (junio).  Esto hizo necesario que se modificaran las fechas de inicio programadas de algunos talleres y laboratorios para lograr llegar al mayor número de beneficiarios posibles, de acuerdo con la capacidad establecida para cada una de las actividades.
• Música, en el componente de formación e investigación, a pesar de que se avanzó en la estructura de contenido de investigación con un enfoque de equidad de género, no se realizará esta actividad en tanto el recurso fue trasladado del Plan de Acción. Para próximas vigencias es necesario revisar la importancia de los procesos de evaluación de los Programas y Proyectos del área, más cuando en la reunión de diagnóstico del portafolio 2019 nos muestra que de un total de 4758 músicos inscritos, 4076 son hombres, 7 intersexuales y 675 mujeres.
</t>
  </si>
  <si>
    <t xml:space="preserve"># actividades orientadas a poner a disposición de la ciudad 12.452 ejemplares de nuevos libros (…) realizadas </t>
  </si>
  <si>
    <t>Realizar 760 actividades orientadas a poner a disposición de la ciudad 44.547 ejemplares de nuevos libros en formato digital e impreso.</t>
  </si>
  <si>
    <t xml:space="preserve">Durante los tres primeros trimestres  del año 2019 la entidad avanzó en el cumplimiento de la meta “Realizar 760 actividades orientadas a poner a disposición de la ciudad 44.547 ejemplares de nuevos libros en formato digital e impreso”, realizando hasta el momento 627 actividades de promoción de la lectura, en las que se ha puesto a disposición de la ciudadanía 40.713 ejemplares de nuevos libros, las actividades fueron desarrolladas a través de tres programas específicos el primero de ellos Escrituras de Bogotá el cual se compone 5 Talleres Distritales, asociados a la Red Nacional de Talleres de Escritura del Ministerio de Cultura en (Cuento, Novela, Poesía, Crónica y Narrativa gráfica) y por 20 talleres de la Red de Talleres Locales de Escritura (19 talleres en localidades y 1 taller en modalidad virtual), los talleres Distritales iniciaron el día 9 de febrero  y a septiembre se encuentran finalizados, la inscripción en estos talleres alcanzó los 2.095 registros, 88 inscritos más que en el 2018 cuando llegó a 2.007,del total de inscritos los formadores hicieron una selección de 40 personas por taller, es decir 200 personas; por su parte los talleres locales se desarrollan en el segundo semestre del año, este año se abrió inscripción a través de invitación publica el día 13 de mayo, cerrando inscripciones el día 2 de julio. A la fecha de cierre se presentó un total de 1.447 personas inscritas Este programa cuenta además con el encuentro Distrital de Escrituras Creativas el cual  ha realizado 6 encuentros en lo corrido del año. El segundo es programa libro al viento a través del cual se ponen a disposición de la ciudadanía la entrega de 40.713 libros para distribución en espacios no convencionales y en las diferentes bibliotecas públicas de la ciudad los títulos entregados fueron: LAV la Marquesa de O, LAV El arte de distinguir a los cursis, LAV Once poetas argentinos, LAV  Bogotá Contada 5, LAV  La dicha de la palabra dicha, LAV  El Horla, LAV Hip, hipopótamo vagabundo, LAV Shakespeare, una indagación sobre el poder y LAV Glosario para la Independencia, así mismo en lo corrido del año se han digitalizado 8 títulos diferentes, además en el año se han descargado 23.653 libros en formato digital. Sumado a lo anterior, el tercer programa Promoción de la Lectura desarrollado a través del contrato 1108-2019 con Fundalectura para actividades de promoción de lectura de Libro al Viento. A lo largo del periodo se llevaron a cabo actividades de promoción de lectura en 18 localidades. Estas actividades se realizan en puntos de distribución de la colección Libro al Viento en la ciudad tales como ámbitos hospitalarios, bibliotecas comunitarias, bibliotecas universitarias y casa de igualdad de oportunidades. Finalmente en el periodo de enero a septiembre se  han descargado 73.392 libros en formato digital. </t>
  </si>
  <si>
    <t xml:space="preserve"># de acciones de reconocimiento de las prácticas artísticas de grupos étnicos, etareos y sectores sociales, desarrolladas </t>
  </si>
  <si>
    <t xml:space="preserve">Desarrollar 40 acciones de reconocimiento de las prácticas artísticas de grupos étnicos, etareos y sectores sociales. </t>
  </si>
  <si>
    <t>Sub. Artes
(Camilo Castiblanco - Tatiana Bonilla - Carmensusana Tapia)</t>
  </si>
  <si>
    <t xml:space="preserve">Durante el transcurso de  los tres primeros trimestres del año 2019 el Instituto Distrital de las Artes en desarrollo de la meta de “Desarrollar 40 acciones de reconocimiento de las prácticas artísticas de grupos étnicos, etareos y sectores sociales.”, ha desarrollado 16 acciones de reconocimiento de las prácticas de las prácticas artísticas de grupos étnicos, etareos y sectores sociales, los cuales se describen a continuación: 
Grupos étnicos 5 acciones: 
1. Convocatoria de becas con enfoque diferencial dirigidas a la población afrodescendiente, se define como el conjunto de acciones que buscan dar cumplimiento a promover la diversidad artística a través de las cinco dimensiones del arte y la gestión de contenidos que resalten las identidades, lenguajes, prácticas y expresiones artísticas propias de los grupos étnicos, así como los procesos de inclusión de profesionales del sector a los procesos artísticos que adelanta Idartes en la ciudad a través de los mecanismos institucionalizados por el sector cultura en la ciudad. El componente (proceso) incluye un conjunto de acciones que incluyen desde 1) el desarrollo de tres (3) jornadas de socialización con enfoque diferencial étnico; 2) la preparación y elección de seis (6) piezas comunicativas en español y palenquero con las cuales se harán públicas las tres (3) becas a la población afrodescendiente; 3) la divulgación de estas piezas a través de medios como correo electrónico y WhatsApp; 4) la evaluación, preselección y selección de los jurados algunos pertenecientes a este grupo poblacional; 5) la evaluación y deliberación de las propuestas y finalmente 6) la selección de las propuestas ganadoras y publicación mediante resolución. A la fecha se cerró la inscripción de propuestas de las tres becas: 
a) Oraliteratura, se inscribieron (11) propuestas y quedaron habilitadas seis (6) iniciativas, seleccionándose de estas propuestas los dos ganadores (Agrupación Hacuna Matata con la propuesta “Los cuentos de Madiba y su clan” y la Asociación de Profesionales Afrodescendientes de las Artes y Humanidades - Agrupación Pattaki – ASOAGPA con la propuesta “Somos canto, somos relato. Arrullos y cuentería en las voces de las niñas y niños de Arborizadora Alta en Ciudad Bolívar”). 
b) Circulación de ensamble, se inscribieron (7) propuestas, quedando habilitadas (3) iniciativas y ganando el mismo número de proyectos los estímulos: Agrupación Zarabanda Danza Afro con la propuesta “Pueblo espiritual”, Escuela de Formación Folclórica Mohana con el proyecto “Palenquiando” y la agrupación Beso de Negra con la propuesta “Bullerengue: un canto de resistencia”. 
c) Nuevas formas de visibilidad de la población afrodescendiente, se inscribieron 10 propuestas, todas habilitadas, de las cuales se seleccionaron (2) propuestas ganadoras: “Danzando Ananse” y “Un caso de reparación. Un proyecto de reparación histórica y humanidades digitales. Esclavizados y pintores afrodescendientes de la Expedición Botánica”.   
2. Formación dirigida a grupos étnicos del proyecto “Arte para la Interculturalidad” en el marco de FILBO 2019, se desarrollaron en total 6 talleres dirigidos a población indígena los cuales se denominaron: Noticias de hace 16.000 años, Calima: narraciones indígenas, animales míticos, Cauca: Espejo de la diversidad, Los Muiscas y su organización social, Nariño: arte prehispánico, Quimbaya: el cuerpo es cultura; a su vez en el marco de esta acción se desarrollaron 3 talleres La paz se toma la palabra, Bestiario y La música de la vida y 1 conversatorio  denominado “Andá, subí, ve” estos  dirigidos a población afrodescendiente, estas actividades contaron con las fases de selección, apoyo logístico, técnico y artístico, divulgación de las actividades y realización de cada actividad artística, estas actividades se desarrollaron en el Salón 6 de Corferias Sala Manuel Zapata Olivella, en el marco de la realización de Filbo 2019.
3. Circulación dirigida a grupos étnicos del proyecto “Arte para la Interculturalidad” en el marco de FILBO 2019, se desarrollaron en total 11 acciones de circulación de las cuales 5 estuvieron dirigidas a población indígena estas se denominaron: Muestra fotográfica: autorrepresentación y construcción de narrativas de comunidades indígenas en Bogotá, puesta en escena de actividad ritual Danza de los Angelitos, puesta en escena de actividad ritual "Ritual Huitaca - Hicagui", instalación fotográfica y paisaje sonoro "Ritual Huitaca - Hicagui", presentación- exposición Okama musical Embera en homenaje al año internacional de las lenguas nativas; 2 acciones dirigidas a población gitana resentación Espacio comunitario de presentación artística del grupo Amé le Rrom – Prorrom, presentación artística Apaché gitano Unión Rromaní, 2 actividades dirigidas a población Afrodescendiente: exposición Other another y puesta en escena “Andá, subí, ve”, a su vez se contó con dos espacios de circulación en los que se integraron población afrodescendiente e indígena , estos dos espacios fueron:  2 presentaciones de Territorio, cuerpo ancestral, estas actividades de circulación fueron realizadas en el marco de FILBO 2019 específicamente en el Salón 6 de Corferias Sala Manuel Zapata Olivella, para el desarrollo de cada una de estas actividades la entidad dispuso las fases de selección, apoyo logístico, técnico y artístico, divulgación de las actividades y presentación de cada actividad artística.
4. Apoyo realización Premios Benkos Biohó, con el objetivo de generar las condiciones para el desarrollo de las prácticas artísticas de los grupos étnicos de la ciudad el Instituto Distrital de las Artes en concordancia con el marco de política pública distrital en  la materia, específicamente el Programa institucional Accesibilidad a equipamientos por parte del sector artístico de la población étnica,  brindó el apoyo logístico y técnico que permitió la viabilización y desarrollo de la décima versión de los Premios Benkos Biohó realizados en el Teatro Jorge Eliécer Gaitán el día 4 de mayo del año en curso, en este sentidos se dispuso lo necesario en cuanto  a operadores logísticos, y gastos de salud, además de todo el personal técnico necesario para el desarrollo del evento.
5. Generación de condiciones para el desarrollo de prácticas artísticas del proyecto “Arte Para la Interculturalidad” en el marco de Filbo 2019.  con el objetivo de generar las condiciones para el desarrollo de las prácticas artísticas de los grupos étnicos de la ciudad el Instituto Distrital de las Artes en concordancia con el marco de política pública distrital en  la materia, específicamente el Programa institucional “Accesibilidad a equipamientos por parte del sector artístico de la población étnica”, realizó las acciones de adecuación de espacios del  Salón Manuel Zapata Olivella y pabellón 5A con tarima y sonido, además aseguró las condiciones de personal técnico en cuanto logística, sonido y escenografía, además de contar con 2 profesionales de producción y curaduría con el fin de generar las condiciones óptimas que permitieron el desarrollo del total de las 97 acciones planteadas del proyecto arte para la interculturalidad tanto en su componente de formación como de circulación en el marco de Filbo 2019, estas condiciones aseguraron que los grupos étnicos Afrodescendientes, Indígenas y Gitanos consiguieran desarrollar el total de sus actividades de acuerdo a lo planeado. 
Sumado a lo anterior, a la fecha se están realizando acciones de planeación, contratación y desarrollo de 15 acciones de reconocimiento adicionales dirigidas a grupos étnicos, las cuales son: en la dimensión de creación: Cocreación de ensamble (1 acción), laboratorios Embera (2 acciones), Anda subí ve (1 acción), Cinemateca Rodante Indígena (1acción); en la dimensión de formación: pueblo Rrom (2 acciones), Raizales (1 acción), diplomados (1 acción); y finalmente en la dimensión de circulación: iniciativas Indígenas (4 acciones), Muestra Cine Afro (1 acción) y Afro en Cultura en Común (1 acción).  
Sectores Sociales 11 acciones:
6. Laboratorios de Arte con Personas con Discapacidad y Personas Cuidadoras a través del Apoyo a la gestión, Corporación El Eje, desde el 23 de abril de 2019 se dio inicio a 3 laboratorios de formación artística dirigidos a personas con discapacidad y personas cuidadoras, contratando para ello a dos artistas con discapacidad, un artista formador y dos cientistas sociales encargados de acompañar el proceso y realizar memorias de cada sesión. Se articuló con Fundación Pones, Colegio Filadelfia para sordos, Colegio Manuela Beltrán y Fundación Armonía Diversa. Cada uno de los laboratorios tuvo una duración de 20 horas. A la fecha se han realizado la totalidad de las sesiones. En cuanto al desarrollo de cada una de las acciones, en  la primera sesión se propuso un espacio de conocimiento del grupo a través del diálogo; la segunda jornada fue una exploración individual y grupal enfocado en el reconocimiento de la espacialidad mediante pautas específicas (caras, saludos, abrazos, miradas y pausas) y los elementos naturales; la siguiente sesión tuvo como propósito llevar las señas (LSC) al movimiento, señas bailables. Posteriormente se trabajó la exploración en parejas, el contacto, la escucha de la piel y del corazón: la jornada cinco y seis fueron exploratorias del trabajo del cuerpo individual. Finalmente, las últimas sesiones estuvieron enfocadas en procesos de creación y la muestra final. 
7. Estrategia Territorial Artífices es una estrategia territorial para el acompañamiento de los sectores sociales y artísticos a los que están dirigidos algunos de los estímulos del PDE, con el fin de estructurar, implementar, y sistematizar una estrategia de apropiación de la oferta institucional, a nivel local y distrital, dirigida a sectores artísticos y sociales, con especial atención en comunidades rurales y personas con discapacidad. Comprende: Jornadas de socialización y acompañamiento de todas las becas que hacen parte de la estrategia Artífices, desarrollo de acciones con nichos específicos y estrategia de comunicaciones, se realizaron actividades desde 15 de abril, estas actividades se desarrollaron en las localidades de: Usme, Barrios Unidos, Santa fe, Ciudad Bolívar, Bosa, Candelaria, Chapinero, Fontibón, Rafel Uribe Uribe, Teusaquillo, Suba, Kennedy, San Cristóbal, Puente Aranda y Antonio Nariño, Como resultado de las jornadas de socialización puede indicarse que el mayor interés para el acompañamiento estuvo en las becas de: Arte para la Transformación Social, Bogotá Diversa, Idartes Rural y Circulación en Arte y Diversidad Sexual ExpresArte, en total se desarrollaron 99 sesiones, incluyendo zonas rurales de la ciudad. Los resultados específicos de este proceso son: 96 actividades de territorialización (entre jornadas de socialización colectivas y jornadas de acompañamiento -colectivas e individuales- para aplicar a las becas), 763 personas atendidas, que contaron con socialización de becas y acompañamiento.
8. Estrategia Habitar Mis Historias: Laboratorio con Personas Habitantes de Calle, Se realizó un (1) proceso de formación artística de (40) horas con personas habitantes de calle en articulación con el Idipron, en el marco de la Estrategia sectorial “Habitar mis historias”. Para ello se vincularon docentes en artes plásticas y arte dramático, cada uno desarrolló 20 horas de formación, con un grupo de niñas, niños, adolescentes y jóvenes, víctimas de explotación sexual comercial, quienes conviven en la Unidad de Protección Integral Normandía del Instituto Distrital para la Protección de la Niñez y la Juventud IDIPRON. Los procesos de formación hicieron parte de una concertación de interés con la población beneficiaria, así como con el modelo de atención del Instituto.
9. Escuela de arte y oficios trans: Procesos de formación en arte transformista, proceso de formación artística de 40 horas con contenidos de diversidad sexual y de géneros en el Centro de Atención la Diversidad Sexual y de Género de la Secretaría Distrital de Integración Social, ubicado en la localidad de Teusaquillo. Este proceso es implementado por mujeres transformistas con experiencia de más de 10 años en la escena artística. La metodología utilizada busca compartir saberes entre cuatro mujeres trans con amplia trayectoria y aquellas que están iniciando en el mundo transformista. Se realizan talleres de maquillaje artístico, construcción de personaje, y elementos escenográficos. La EAOT dio inicio el pasado 5 de septiembre, a la fecha se han desarrollado 4 sesiones. Su implementación hace parte del cumplimiento del plan de acción de política pública lgbti, que busca fortalecer las redes de protección y garantizar el ejercicio de derechos culturales en entornos seguros. La EAOT tendrá un proceso complementario denominado la Transbatucada, la primera batucada liderada por personas trans en Latinoamérica, para ello se han proyectado 5 sesiones de formación en el mes de octubre de la mano de la agrupación AAINJA.
10. Estrategia Seres: Procesos de gestión cultural y artística con Sectores Sociales, proceso de formación, organizado en siete sesiones de formación, iniciando el 5 de septiembre, cuyo objetivo es el fortalecimiento organizativo de los sectores sociales en la presentación de proyectos artísticos. Como resultado se contará con un proyecto por cada participante, para ser presentado en el Programa Distrital de Estímulos de la próxima vigencia. En este proceso están inscritas 23 organizaciones de los sectores sociales que cuentan con proyectos artísticos. El proceso de formación cuenta con tres componentes: creación de proyectos artísticos, gestión de proyectos artísticos, y circulación y comunicación de proyectos artísticos. Al final el proceso, las personas podrán ser parte del Circuito de Arte, acción 10.
11. Estímulos para Mujeres, En el marco de la Beca Bogotá Diversa para Sectores Sociales se encuentra la categoría 1: prácticas artísticas para una vida libre de sexismos, la cual busca visibilizar y fortalecer las prácticas artísticas de las mujeres diversas y/o aquellas encaminadas a la construcción de una cultura libre de sexismos. Se recibieron 74 propuestas, de las cuales 39 quedaron habilitadas para evaluación del jurado, quien seleccionó 3 propuestas, cada una obtuvo 10 millones de pesos como estímulo, los ganadores fueron: Tribunewen de la localidad de Suba, Julian Andres Garcia Valero de la localidad de Ciudad Bolívar y Colectivo Semejante de la localidad de Kennedy. 
12. Estímulos para Personas con Discapacidad, en el marco de la Beca Bogotá Diversa para Sectores Sociales se encuentra la categoría 2: prácticas artísticas de las personas con discapacidad, la cual busca visibilizar y fortalecer las prácticas artísticas de las personas con discapacidad o aquellas encaminadas a desarrollar propuestas para la garantía de derechos culturales de las personas con discapacidad a través de las prácticas artísticas, se recibieron 60 propuestas, de las cuales 39 quedaron habilitadas para evaluación del jurado, quien seleccionó 5 propuestas, cada una obtuvo 10 millones de pesos como estímulo; los ganadores fueron: Fusión Fantasía de la localidad de Bosa, Colectivo Otro de la localidad de Puente Aranda, Deca Teatro de la localidad de Suba, Rodrigo Alfonso González Susa de la localidad de Engativá y Corporación para la Comunicación y la Educación Suba al Aire de la localidad de Suba. 
13. Estímulos para Personas Víctimas de Conflicto Armado, en el marco de la Beca Bogotá Diversa para Sectores Sociales se encuentra la categoría 4: prácticas artísticas para la reparación integral a las víctimas del conflicto armado interno, la cual busca visibilizar y fortalecer propuestas artísticas de las víctimas del conflicto armado interno encaminadas al ejercicio de sus derechos culturales, y para al reconocimiento de los hechos de violencia, la reconstrucción de su memoria y de sus proyectos de vida en la ciudad, se recibieron 31 propuestas, de las cuales 16 quedaron habilitadas para evaluación del jurado, quien seleccionó 3 propuestas, cada una obtuvo 10 millones de pesos como estímulo, los ganadores del estímulo fueron: Asociación Compañía la Otra de la localidad de Teusaquillo, Ivan Dario Rojas Moreno de la localidad Rafael Uribe Uribe y Olga Lucia Londoño Molina de la localidad de Ciudad Bolivar.
14. Estímulos para Personas habitantes de calle y Personas privadas de la libertad,  en el marco de la Beca Bogotá Diversa para Sectores Sociales se encuentra la categoría 3: prácticas artísticas orientadas a prevenir situaciones de vulneración de derechos, la cual busca visibilizar y fortalecer prácticas artísticas encaminadas a prevenir situaciones de vulneración de derechos de las personas que habitan calle, personas en ejercicio de prostitución, personas privadas de la libertad, personas con consumo de sustancias psicoactivas, u otros sectores sociales que no estén contemplados en otras categorías, en esta beca se recibieron 44 propuestas, de las cuales 29 quedaron habilitadas para evaluación del jurado, quien seleccionó 2 propuestas, cada una obtuvo 10 millones de pesos como estímulo, los ganadores de la beca fueron: Agrupación Atravesados de la localidad de Los Martires y Colectivo Loto de la localidad de Kennedy.
15. Estímulos para Sectores Sociales LGBTI, La beca de circulación en arte y diversidad sexual "expresarte 2019” busca el reconocimiento de las creaciones artísticas, de cualquier disciplina, con contenidos de diversidad sexual y de géneros, en esta beca se recibieron 27 propuestas, de las cuales 19 quedaron habilitadas para evaluación del jurado. El jurado fue conformado por una mujer trans, un artista y un profesional en derechos humanos, quienes seleccionaron 7 propuestas, cada una obtuvo 5 millones de pesos como estímulo, los ganadores de la beca fueron: Liberia de la localidad de Chapinero, Corporación Al Alba Producciones de la localidad Rafael Uribe Uribe, Lagrupada de la localidad de la Candelaria, Fussion Entertainment de la localidad de Suba, Luis Carolos Manjarres Martínez de la localidad de Santafé, Alejandro Jaramillo Hoyos de la localidad de Santafe y Mery Yessenia Rodriguez de la localidad de la Candelaria. 
16. Participación en FILBO 2019,  Se realizó un (1) conversatorio para personas con discapacidad y personas cuidadoras liderado por una artista con discapacidad motora que escribe y diagrama sus propios libros y que usa las artes literarias como herramienta de transformación social. A su vez, se adelantó un (1) taller conversatorio para la configuración de una red de artistas que trabajan en establecimientos carcelarios, se contó con la asistencia de 20 organizaciones y se implementó un compartir de saberes, e ideas de un proyecto sólido a presentar en el PDE, , también se llevaron a cabo (4) conversatorios sobre diversidad sexual, literatura, verdad histórica y arte.
Además, se desarrollaron acciones de planeación y contratación para el desarrollo de 9 acciones de reconocimiento dirigidas a Sectores Sociales las cuales son: Laboratorios de Formación con Personas Privadas de la Libertad, Proceso de interpretación a lengua de señas colombiana, subtitulación y audio descripción de material producto de la Cinemateca rodante, Encuentro de circulación para la visibilización de experiencias artísticas de las mujeres, Encuentro de visibilización de experiencias artísticas de las personas con discapacidad y las personas cuidadoras, Ajustes razonables en plataforma web para Personas con Discapacidad, Implementación de ajustes razonables a través de creación y publicación de cartilla sobre los aprendizajes en el abordaje a personas con discapacidad y personas cuidadoras en el Idartes, Estrategia Seres: Circuito de arte, Proyecto DIEZ: Circulación de la formación artística de los sectores sociales lgbti, Estrategia de Memoria Social de Proyectos Artísticos y Estrategia de Paz: Planes Integrales de Reparación Colectiva
</t>
  </si>
  <si>
    <t>META 2018 BMpT</t>
  </si>
  <si>
    <t># de procesos de participación y (...) desarrollados</t>
  </si>
  <si>
    <r>
      <t>Desarrollar 20</t>
    </r>
    <r>
      <rPr>
        <sz val="10"/>
        <color rgb="FFFF0000"/>
        <rFont val="Calibri"/>
        <family val="2"/>
      </rPr>
      <t xml:space="preserve">  </t>
    </r>
    <r>
      <rPr>
        <sz val="10"/>
        <color rgb="FF000000"/>
        <rFont val="Calibri"/>
        <family val="2"/>
      </rPr>
      <t>procesos de participación y concertación con sectores artísticos.</t>
    </r>
  </si>
  <si>
    <t>Sub. Artes
(Tatiana, Camilo, Carmensusana)</t>
  </si>
  <si>
    <t xml:space="preserve">• Gerencia de Música, Debido a que las resoluciones que designan a los consejeros de las diferentes áreas no lograron firmarse en los tiempos esperados a inicios del año (pues se firmaron el 27 de febrero del presente año), no fue posible convocar a sesión al Consejo de Distrital de Música a lo largo del primer trimestre. Sumado a lo anterior, hubo una demora con el envío de la base de datos de los Consejeros Locales de Música, así como en el envío de los insumos para abordar las reuniones (formatos de acta de reunión, solicitud de delegado, convocatorias a sesiones) facilitados por la Dirección de Asuntos Locales y Participación de la SCRD, lo cual impidió definir la totalidad de los consejeros delegados, para así hacer la citación de la primera sesión.
Por otra parte, aún no hay conocimiento sobre el delegado del Clúster de Música, toda vez que esta instancia, por su parte, aún no se ha reunido para sesionar y definir su respectivo delegado. Sin embargo, ya existe una claridad sobre los lineamientos y metodología de trabajo para abordar la primera sesión de los Consejos, gracias a unas reuniones que ha realizado la Secretaría de Cultura con las respectivas secretarías técnicas para profundizar en el uso de los insumos facilitados, lo cual se ha aplicado para definir el Consejero Local delegado, y solicitar los delegados de OFB y el Clúster de Música. Por otro lado, amparado bajo el quórum mínimo que estipula el reglamento del Consejo Distrital de Música, a la espera del delegado del Clúster de Música, se citará a la sesión de apertura durante la primera semana de abril, para realizar la reunión antes del 12 del mismo mes, e ir avanzando con la agenda participativa del Consejo de Música.
En el tercer trimestre no fue posible acordar horarios para realizar las reuniones regulares extraordinarias y abordar temas coyunturales relacionados con la consolidación de la agenda participativa y el documento que el consejo pensaba mostrar a los candidatos a la Alcaldía de Bogotá. Aunque los temas se abordaron en la reunión ordinaria, a la que no asistieron la totalidad de los consejeros, algunos no estuvieron presentes desde el inicio de la sesión, y otros tuvieron que irse por situaciones laborales, y esto hizo que los temas a tratar quedaran un poco cortos al momento de recoger ideas para tomar decisiones.
</t>
  </si>
  <si>
    <t xml:space="preserve"># de espacios para la práctica (...) generados </t>
  </si>
  <si>
    <t>Generar 2 espacios para la práctica artística aficionada en los territorios.</t>
  </si>
  <si>
    <t xml:space="preserve">1. Festivales al Barrio presentó dificultad respecto al gran número de propuestas rechazadas en el proceso de verificación efectuado por la oficina de convocatorias, ya que, de 148 propuestas inscritas, solamente 66 propuestas fueron habilitadas para sustentación, en éste sentido se hace necesaria una cuidadosa revisión de los términos de redacción de la Beca, al igual que fortalecer y aumentar los espacios para socialización de la misma. Para ello es importante analizar las causas de rechazo y facilitar los formularios y requerimientos para la aplicación a las Becas
2. Habitar mis Historias debido a las restricciones en los procesos contractuales de la plataforma Secop II y la ausencia de propuestas pertinentes fue necesario modificar el cronograma inicialmente previsto para Habitar mis Historias hasta que la contratación del apoyo a la gestión se concrete.
</t>
  </si>
  <si>
    <t># atenciones a niños y niñas (encuentros grupales y espacios adecuados)</t>
  </si>
  <si>
    <t>No reporta</t>
  </si>
  <si>
    <t>993 - Experiencias artísticas para la primera infancia.</t>
  </si>
  <si>
    <t xml:space="preserve">Lograr 55.500 atenciones a niños y niñas de primera infancia que disfrutan de experiencias artísticas en diferentes espacios de la Ciudad (encuentros grupales y espacios adecuados)  </t>
  </si>
  <si>
    <t>Coordinación Proyecto
Paula Atuesta 
reporte info: Carolina Ardila)</t>
  </si>
  <si>
    <t>Con corte a tercer  semestre de 2019, ha realizado 55.475 atenciones a niños, niñas y gestantes, de los cuales 9.533 fueron atendidos en los laboratorios artísticos y 45.942 en otros espacios como jardines con o sin intervenciones artísticas, casas de pensamiento intercultural, hogares infantiles, hogares comunitarios, centros de desarrollo infantil (CDI), centros de desarrollo comunitario (CDC) o espacios no convencionales como salones comunales. Se encuentra discriminado frente a grupos étnicos: 157 fueron niños, niñas y gestantes afrodescendientes, 364 pertenecientes a comunidades indígenas, 3 Raizal y 3 de población ROM. Así mismo, en lo correspondiente con sectores sociales y etarios, 399 pertenecen a comunidades rurales o campesinas, 406 a población con discapacidad, 359 víctimas del conflicto, entre las que está incluida la población atendida en el Centro Único de Recepción de Niños, Niñas y Adolescentes (CURNN) de la localidad de Los Mártires; y 13 privados de la libertad atendidos en la Cárcel El Buen Pastor.
Frente al tema de la distribución territorial, las principales localidades con mayor atención al corte del presente reporte son: Kennedy (6780) y Ciudad Bolívar (7443); a la vez que aquellas con menor capacidad de atención fueron las que reportaron cifras menores: Chapinero (759), Tunjuelito (909), Barrios Unidos (1175), Teusaquillo (313), Antonio Nariño (463), Puente Aranda (828) y La Candelaria (666).</t>
  </si>
  <si>
    <t>Finalizando el mes de mayo se realizó el balance del cumplimiento de la meta y se observó que estaba más baja de lo proyectado; las causas de ello fueron cambios y contingencias en las diferentes instituciones aliadas que modificaron el número de niños proyectados desde las coberturas versus los niños quedaron inscritos, y también ocurrieron algunas cancelaciones por diversas situaciones dentro de las instituciones.  La solución que se encontró fue una estrategia de incremento de articulaciones con los sectores, ampliando la comunicación y acuerdos con nuevos jardines, incrementando la meta. A 30 de septiembre de 2019 ya se solucionó por completo esta contingencia.</t>
  </si>
  <si>
    <t># atenciones a niños y niñas en procesos de circulación</t>
  </si>
  <si>
    <t xml:space="preserve">Alcanzar la participación de 33.000 niños y niñas en procesos de circulación y acceso a contenidos </t>
  </si>
  <si>
    <t xml:space="preserve">La Subdirección de Formación a través del Programa NIDOS, con el objetivo de llevar la oferta de Circulación del proyecto a las veinte (20) localidades de Bogotá  conformó cinco (5) equipos de Artistas Comunitarios itinerantes de cuatro integrantes cada uno, apoyados por un equipo base del que hacen parte un Responsable de la estrategia, un Gestor Territorial de Circulación, una persona del equipo EAAT- Equipo de Acompañamiento Artístico Territorial, un Apoyo Operativo, un Profesional Universitario del Idartes y una dupla de montaje para los nidos inflables. Las 5 propuestas de experiencias artísticas para desarrollar durante la vigencia son: El mirlo y el Bosque, Vendaval de Sueños, Guardianes de la Semilla, Airatar y El Árbol Mágico. A Septiembre 30 del año 2019 se han desarrollado 944 atenciones en 19 de las 20 localidades de Bogotá: Usaquén, Chapinero, Santafé, San Cristóbal, Usme, Tunjuelito, Bosa, Kennedy, Fontibón, Engativá, Suba, Barrios Unidos, Teusaquillo, Mártires, Antonio Nariño, Puente Aranda, Candelaria, Rafael Uribe Uribe, Ciudad Bolívar, Sumapaz. El total de beneficiarios de estas atenciones fue 25.527, de los cuales 83 fueron mujeres gestantes, 8 pertenecen a población afrodescendiente, 8 a población indígena, (1) a población raizal, (52) a población víctima del conflicto, 99) a población rural y campesina y 95 a población con discapacidad. La mayoría de los beneficiarios de las atenciones se concentran principalmente en las localidades donde están ubicados los colegios seleccionados para atención dentro de la articulación con Secretaría la Secretaría de Educación Distrital, tales como las localidades de Kennedy, Bosa, Barrios Unidos.  </t>
  </si>
  <si>
    <t>Para el primer semestre de 2019, se presentó retraso en las articulaciones tanto a nivel central como local con las entidades aliadas iniciaron a finales de febrero, presentándose demora en la entrega de bases de datos de instituciones a atender; esto dificultó el registro de solicitudes de atención desde los territorios a la estrategia de Circulación en la matriz de programación; Sin embargo, este retraso en el inicio de la atención se contempló en la proyección de cumplimiento de la meta de Circulación
Se ha presentado retrasos en la producción de nuevos contenidos contenido digitales en website Nidos versión adultos y niños,, se están produciendo actualmente dos contenidos audiovisuales y un contenido interactivo para primera infancia. Se solicitó a inicio de año la compra de un software para desarrollo de contenidos en formato HTML5, el software aún está en proceso de adquisición y no ha sido instalado en los computadores del equipo de creación de contenidos.</t>
  </si>
  <si>
    <t>#  espacios adecuados creados y/o sostenidos</t>
  </si>
  <si>
    <t>Sostener y/o crear 19 espacios adecuados para la atención de la primera infancia.</t>
  </si>
  <si>
    <t xml:space="preserve">En el transcurso del primer semestre de 2019, se realizó la apertura de los 20 laboratorios artísticos, ubicados en 10 localidades de la ciudad de Bogotá, los cuales reportaron una atención de 1.091 niños y niñas de primera infancia. Dentro de las cuales se encuentran distribuidos así los laboratorios: Parque de los niños (Barrios Unidos) El Sumergible y Vía Láctea (Bosa), Museo Colonial (Candelaria), Entre Nubes (Ciudad Bolívar),  Laberinto y En las Alturas (Engativá) Juego de Nichos, Mar de los Sentidos y  Umbra (Kennedy),  Cantasaurio, Castelarium (Rafael Uribe Uribe), El Preguntario, El Parque, Biblioteca el parque, Rayito (Santa Fe), Fractario y La Onda (Suba), OPTIKO y Nido de Usme (Usme). 
Frente al componente de mantenimiento y adecuación, se han realizado acciones de pintura general, renovación del mobiliario, cambio de toma eléctrica, revisión de lámparas e instalación de estantería en el espacio de almacenamiento en Laberinto del Crea Villas del Dorado, se realizaron montajes de luces led, se hizo cambio de abrazaderas de la tramoya, instalación de extensión y punto de luz y eléctricos del lactario, Laboratorio Rayito de la Cinemateca de Bogotá
Los procesos contractuales presentan un porcentaje una ejecución a la fecha, así: Lavandería (66.6%) Mobiliario (90%) Didácticos (100%) Escenografía (100%) Tramoya (100%), Persianas y Blackout (100%). </t>
  </si>
  <si>
    <t>En cumplimiento a la meta de sostener y crear 19 espacios adecuados para la atención de la primera infancia, se han presentado las siguientes dificultades en los siguientes laboratorios: 1. LAB: Por arreglos locativos que iniciaron en febrero de 2019, en el CDC La Victoria, ubicado en la localidad de San Cristóbal, no se realizó la apertura del espacio del programa Nidos Lab. Sin embargo, no se ha logrado un acuerdo para iniciar la atención, dado que los arreglos locativos a 30 de septiembre de 2019 aún continúan. 2. NIDO DE USME: Por cuestiones de articulación sobre la utilización del espacio se vio afectada la apertura del laboratorio. A pesar que la apertura se realizó en el mes de abril, el subdirector local aceptó la atención en este laboratorio los días martes y jueves. Esto está en revisión dado que se espera llegar a un acuerdo para atender de martes a viernes en este espacio. 3. RAYITO: Se presentaron retrasos en el lanzamiento y adjudicación de los procesos de contratación para su ambientación, razón por la cual, se realizó una ambientación provisional a excepción del montaje de blackout que se realizó el 11 de junio de 2019. 4. En el mes de mayo de 2019, el IDRD comunicó al programa Nidos que la atención en el laboratorio Parque de los Niños se haría hasta el 30 de junio de 2019. Por lo cual, se está gestionando la reapertura del laboratorio LAB en el CDC La Victoria, para cumplir la meta de crear o sostenes 20 espacios para la primera infancia.</t>
  </si>
  <si>
    <t xml:space="preserve">Publicar y divulgar 1,10 documentos en torno a las artes para la primera infancia. </t>
  </si>
  <si>
    <t>Coordinación Proyecto
(Paula Atuesta 
reporte info: Carolina Ardila)</t>
  </si>
  <si>
    <t>Para el tercer semestre del 2019, la meta publicación se encuentra en un 95 % de ejecución publicación impresa “Arte en primera infancia: sentidos y rumbos del quehacer artístico-pedagógico” del 2018, se encuentra en un 100% de ejecución: se terminó la etapa de diagramación y corrección de estilo y su impresión en el mes de abril, se hizo el lanzamiento público en el marco del III Seminario Arte Para La Transformación Social y se está aún realizando su distribución. Se realizó la gestión para el lanzamiento de la publicación digital “Juguetes de arte”, el 2 de mayo en el marco de la Feria del Libro FILBO 2019. En este evento dio a conocer la publicación digital y sensibilizó a los asistentes sobre otras formas de jugar y crear juguetes artísticos. La publicación está disponible para libre descarga en tiendas virtuales Google Play para  iOS</t>
  </si>
  <si>
    <t>,</t>
  </si>
  <si>
    <t>982 - Formación artística en la escuela y la ciudad.</t>
  </si>
  <si>
    <t xml:space="preserve">Producir 0,95 investigaciones realizadas en torno a la formación artística en la Ciudad. </t>
  </si>
  <si>
    <t>Coordinación Proyecto
(Leonardo Garzón)</t>
  </si>
  <si>
    <t>Para el 2019 se realizará la publicación de la investigación “Medición Longitudinal” del estudio realizado en el 2017 “Desarrollos e impactos de los centros de formación artística – Estudio en el campo artístico, educativo y social”, fue adjudicado a la Entidad Deproyectos SAS, este proceso inició en enero de este año y a la fecha se encuentra en la segunda fase de ejecución cuenta con un avance del 75% en el cumplimiento de las actividades previstas para el desarrollo de la investigación: a) Revisión documental: Incluyó el estudio anterior, material anexo, material bibliográfico recomendado por Idartes y el adicional que considere el equipo investigador, b) Presentación Institucional de contexto, Idartes y objetivos del proyecto, c) Consolidación de propuesta metodológica, teniendo en cuenta estudio anterior. d) Revisión y adaptación de instrumentos de investigación de estudio anterior. e) Creación de propuesta investigación línea de Laboratorio Crea. f) Análisis parcial de la poblacional actual y consolidación del universo de la muestra teniendo en cuenta su representatividad en relación con el estudio anterior. g) Aplicación parcial de instrumentos de investigación: Encuestas, grupos focales, entrevistas, observación de participantes, h) Se entregaron propuestas de diseño para publicación del documento de la investigación. i) Se realizó registro fotográfico de los procesos en los centros CREA y en algunas de las Instituciones Educativas que hacen parte del Programa. Además, se han realizado reuniones de socialización de la investigación y sus instrumentos cuantitativos y cualitativos con distintos miembros de los equipos pedagógico y territorial del Programa. El equipo De Proyectos SAS ha realizado la entrega de 2 productos, que contienen los registros y documentación de las actividades enunciadas anteriormente.</t>
  </si>
  <si>
    <t># atenciones a  niños, adolescentes, jóvenes, adultos y adultos mayores</t>
  </si>
  <si>
    <t>Alcanzar  55.000 atenciones a niños, adolescentes, jóvenes, adultos y adultos mayores que participan en procesos de formación artística.</t>
  </si>
  <si>
    <t xml:space="preserve">Al corte del primer semestre de 2019, se ha realizado la atención a 49.765 niñas, niños, adolescentes y jóvenes, mediante las líneas Arte en la escuela  y Emprende CREA. 
Línea de Arte en la Escuela: La atención de los grupos la realizarán las 7 áreas artísticas de Artes Electrónicas, Audiovisuales, Artes Plásticas, Música, Danza, Arte Dramático y Creación Literaria. Teniendo que las áreas de mayor demanda son Danza, Artes Plásticas y Música. Esta Línea se ejecuta en dos modalidades: 1. Atención directa, realizada con recursos del Idartes, en términos de infraestructura, talento humano, materiales y todo lo relacionado con la operación de los procesos formativos para los estudiantes de los colegios públicos, los cuales pueden ser atendidos por artistas directos contratados por el Idartes o en la modalidad de organizaciones o en modalidad mixta. Para el tercer trimestre de 2019 se contó con 261 artistas directos y ocho (8) organizaciones, para una atención acumulada total de 30.748 beneficiarios en la modalidad de atención directa.  2: Arte en la Escuela: la atención por convenio SED No. 862206 con la Secretaría de Educación el cual tiene como propósito la atención de 9.000, estudiantes, En el primer trimestre, se pactaron coberturas y a partir del segundo trimestre se alcanzó una cobertura acumulada de 9.000 estudiantes. Para un total acumulado de beneficiarios atendidos de la “línea Arte en la Escuela” para el tercer trimestre de 2019 de 10.934 estudiantes. </t>
  </si>
  <si>
    <t xml:space="preserve">Contar con 20 Centros Locales de Formación Artística en operación. </t>
  </si>
  <si>
    <t xml:space="preserve">Al corte del 30 de Junio se cuenta con  20 centros de formación artística en operación distribuidos así: Usme (Cantarrana), Bosa (Naranjos, San Pablo), Kennedy (Castilla, Las Delicias, Roma), Fontibón (Las Flores, Villemar), Engativá (La Granja, Villas del Dorado), Suba (La Campiña, Suba Centro), Barrios Unidos (12 de octubre, Santa Sofía), Los Mártires (La Pepita), Rafael Uribe Uribe (Inglés, Gustavo Restrepo), Ciudad Bolívar (Lucero Bajo, Meissen), Santa Fe (El Parque).
Un componente esencial para el funcionamiento de los centros CREA consisten en las acciones de mantenimiento y dotación, para el primer semestre se han realizado acciones relacionadas con las novedades y necesidades de adecuación de espacios solicitadas por el equipo territorial, efectuando las respectivas visitas contando con el acompañamiento del  equipo de seguridad y salud en el trabajo, de la entidad. Frente a la dotación se encuentra en proceso: adquisición de piso de neopreno para ensayos de danza, títulos literarios, licencias de software, adquisición elementos audiovisuales y artes electrónicas, papelería especializada, instrumentos musicales y mobiliario en general. </t>
  </si>
  <si>
    <t xml:space="preserve"># de circuitos o muestras artisticas </t>
  </si>
  <si>
    <t>Realizar 4 circuitos o muestras artísticas que evidencien el desarrollo artístico de los niños, niñas, adolescentes, jóvenes, adultos y adultos mayores que participan en procesos de formación artística.</t>
  </si>
  <si>
    <t xml:space="preserve">Esta planeado desarrollar muestras zonales Crea, cuya realización ha sido contemplada entre los meses de septiembre a noviembre de 2019, el Festival Crea, el cual tendrá lugar los días 12 y 13 de octubre en el Parque Metropolitano Simón Bolívar, Feria de Emprendimiento en el mes de noviembre de 2019, en lugar pendiente por definir, el Crea va a la Ciudad, a realizarse entre los meses de septiembre y noviembre del año en curso. </t>
  </si>
  <si>
    <t>Durante los tres primeros trimestres de la vigencia 2019 el Instituto Distrital de las Artes en cumplimiento de la meta de “Fortalecer 1 iniciativa de territorios culturales, clústers o circuitos artísticos” desarrolló una iniciativa denominada Cluster de Editoriales Independientes y sigue desarrollando acciones tendientes a fortalecer los denominados Bronx Distrito Creativo la cual ya se realizó y programa DC en Vivo, la cual se encuentran en fase de desarrollo.
1. Cluster de Editoriales Independientes es un proceso que busca fortalecer el cluster de editoriales y libreros independientes de Bogotá, con el objetivo de facilitar circulación de editoriales independientes en librerías, estableciendo un diálogo profesional entre los editores y libreros independientes colombianos y sus pares iberoamericanos. Durante 2019 se  facilitó la participación de 3 autores, 2 de Brasil y 1 de Chile.   En agosto se facilitó que 3 editores estuvieran en Buenos Aires y en noviembre estarán dos agentes a Brasil.  En octubre estarán dos bolivianos y un mexicano residente en España en Bogotá, y en noviembre un argentino y una colombiana, residente en Brasil, que trabaja con ediciones alternativas.
En este mismo sentido, en noviembre se realizará Noviembre Independiente, una iniciativa de la ACLI y se participará para el fortalecimiento de librerías con programación cultural que permita la promoción de los agentes del sector. De igual manera se está estructurando un proyecto para la creación de un Consultoría Editorial que prestará asesoría a las editoriales y libreros. En el marco de este proceso, en 2018 se realizó la primera versión de Filbo Emprende, y en 2019 la segunda, busco  fortalecer proyectos editoriales emergentes en el marco de la Feria Internacional del libro de Bogotá.
2. Bronx Distrito Creativo, se continúa participando en las mesas de planeación del proyecto del Bronx Distrito Creativo junto con las diferentes entidades del distrito como son la FUGA, SCRD, Secretaría de Desarrollo Económico, ERU y Secretaría de Educación. Como parte de este proceso de fortalecimiento, el Idartes y la FUGA realizaron la segunda versión de “La Creatón” del Bronx Distrito Creativo, un evento que tuvo como objetivo generar un espacio para conectar a la comunidad de futuros inquilinos del Bronx, desarrollando un sentido de identidad como pioneros para que se apropien del proyecto. El evento se realizó el día 10 de mayo de 2019 contando con un total de 130 asistentes, se tuvieron los facilitadores y la logística necesaria, permitiendo así, fomentar la creatividad e intelecto de los participantes para que desarrollaran un marco de trabajo que impulse la creación y fortalecimiento de una comunidad: la Comunidad de Emprendedores del Bronx Distrito Creativo. Para dar cumplimiento a los objetivos propuestos para este proyecto, se realizó una actividad/taller para promover la generación de tradiciones y ritos entre los asistentes. Así mismo, se realizó una actividad de integración/networking entre cada una de las personas que hicieron parte de esta iniciativa.
3. Programa DC en Vivo es una iniciativa cuyo objetivo es fortalecer, dinamizar y articular la escena de música en vivo de Bogotá, centrándose específicamente en los Escenarios de Música en Vivo - EMV como agentes clave para la circulación de los proyectos musicales locales y la relación con los públicos. A través de una agenda constante de actividades para promover las relaciones entre los agentes del sector, espacios para la generación de oportunidades de negocio y el fomento a los proyectos de circulación de artistas en los EMV, DC en Vivo le apuesta a la consolidación de un circuito que permita seguir posicionando a Bogotá como una Ciudad Creativa de la Música de la Unesco. De igual manera, el programa ofrece oportunidades para el desarrollo de conocimientos y competencias necesarios para el sector de la música, y además promueve alianzas estratégicas para fomentar el consumo de música en vivo en Bogotá. Para 2019 se planearon las siguientes actividades: foro, rueda de negocios, showcases, 4 encuentros y beca con 5 estímulos, a la fecha se han llevado a cabo las siguientes actividades: 3 Encuentros DC en Vivo, el Foro DC en Vivo, taller para EMV dirigido por Carmen Zapata, conversatorio de mujeres en la industria musical, Rueda de Negocios DC en Vivo y 2 showcases DC en Vivo.  Adicionalmente se realizó la apertura y cierre para participar en la beca DC en Vivo, que actualmente se está ejecutando.</t>
  </si>
  <si>
    <t xml:space="preserve">El Idartes cuenta con una red de equipamientos conformada por escenarios a su cargo, escenarios cofinanciados y equipamientos a cargo de otras entidades públicas que, mediante alianzas o articulación institucional son usados para programar actividades artísticas, como el caso de los Centros de Desarrollo Comunitario – CDC, casas de la cultura, espacios comunitarios o de la administración local. 
En relación con los escenarios a cargo del Idartes, estos se encuentran ubicados en las localidades de Santa Fe -Teatro Jorge Eliécer Gaitán y Teatro El Parque- y La Candelaria con el Teatro La Media Torta. Mientras que el Teatro Mayor Julio Mario Santo Domingo - TJMSD, equipamiento cofinanciado, está ubicado en la localidad de Suba. Frente a los equipamientos a cargo de otras entidades, a través del Programa Cultura en Común, los tres primeros trimestres de 2019, tuvo presencia en 11 localidades con la realización de 182 actividades en las localidades Antonio Nariño, Barrios Unidos, Bosa, Ciudad Bolívar, Fontibón, Kennedy, Puente Aranda, San Cristóbal, Suba, Usaquén y Usme. El Escenario Móvil Armando de la torre, empezó su actividad en mayo, debido a las dificultades que tuvo el proceso contractual para realizar la revisión técnico-mecánica del vehículo que transporta el escenario, llegando a 10 localidades con 32 actividades realizadas: Bosa, Ciudad Bolívar, Chapinero, Engativá , La Candelaria, Mártires, Santa Fé, Teusaquillo, Suba y Tunjuelito. Para el cumplimiento de la meta relacionada con la oferta frecuente -entendida con aquella localidad donde se han realizado mínimo 8 actividades-  durante los tres primeros trimestre del año, se logró atender a 12 localidades  con 843 actividades discriminadas así: Santa Fé (283) con la programación de los escenarios del Teatro Jorge Eliecer Gaitán, Teatro el Parque y Escenario Móvil, Suba (44) con la programación del Teatro Mayor Julio Mario Santo Domingo y Programa Cultura en Común. La Candelaria (50) con el Teatro al Aire Libre la Media Torta. Con el Programa de Cultura en Común: Antonio Nariño (27), Ciudad Bolívar (22), San Cristobal (22), Usaquén (21), Usme (22)  y Kennedy (20), puente Aranda (9), Bosa (13) y Fontibón (13). 
Se avanza con la atención en las demás localidades mencionadas para llegar en ellas a la meta de frecuencia propuesta.
</t>
  </si>
  <si>
    <t>Durante el 3 trimestre del año 2019 el Instituto Distrital de las Artes, en cumplimiento de la meta “Generar 2 espacios para la práctica artística aficionada en los territorios”, ha acciones de ejecución de 2 distintos espacios a saber:
1. Festivales al Barrio es una iniciativa del Idartes que busca, a través del otorgamiento de 30 estímulos económicos y un proceso de formación, preservar, fortalecer y proyectar los festivales barriales de baja complejidad desarrollados en Bogotá. Para este año se presentaron dos categorías: Categoría I, Festivales con Experiencia y Categoría II Festivales que concursan por primera vez. La beca cerró el 4 de Abril. Se seleccionaron 3 jurados de 12 postulados. Se inscribieron 148 agrupaciones interesadas en la Beca, quedando 66 propuestas habilitadas y posterior selección de 30 ganadores, durante el primer semestre se llevaron a cabo acercamientos de articulación con la Cámara de Comercio de Bogotá, SDG, Planetario y Línea Emprendimiento para fortalecer el proceso de los ganadores del 2019, 28 de los 30 ganadores de la beca, asistieron a la primera jornada de capacitación “Aspectos clave para ser un programador de espectáculos en vivo.”, para el tercer trimestre, se inició el proceso de ejecución de las propuestas ganadoras de la Beca, con una asistencia de 4.557 personas durante los festivales desarrollados,  datos soportados desde los informes de ejecución de cada agrupación. Las localidades beneficiadas hasta el momento por los festivales ejecutados son Ciudad Bolívar, Santafé, Suba, Chapinero, Tunjuelito, Kennedy, Antonio Nariño, Teusaquillo, San Cristóbal, Usme. Es importante resaltar que uno de los avances más notables de la Beca es la diversificación de oferta cultural de los festivales a la ciudadanía, es por ello que al momento en los 14 Festivales ejecutados al momento contamos con experiencias ligadas a las Artes Plásticas desde la Práctica Responsable del Grafiti, Hip Hop, Música incluyendo géneros musicales como el rock, folclor y reggae, danza liderada y dirigida para adultos mayores, circo y teatro
2. Habitar mis Historias es una estrategia interdistrital que tiene como objeto interpelar y transformar las relaciones en emergencia desde el arte, partiendo de relatos en primera persona centrados en la propia historia de vida, generando procesos de transformación cultural que promuevan el respeto y afecto social a/hacia/por la diferencia y transformar las percepciones negativas que tienen las personas sobre “los otros”; el principal aliado institucional de la materialización de la estrategia ha sido el Instituto para la protección de la niñez y la juventud- Idipron. Durante lo corrido del año, se realizó la reactivación de la mesa habitar mis historias con el fin de consolidar un balance distrital de la implementación de la estrategia y definir la ruta de actividades del 2019, además de la actualización de contenido visual de plataforma http://habitarmishistorias.gov.co/home/) que visibilizá las acciones con los exhabitante de calle y los niños, niñas, adolescentes y jóvenes en restitución de derechos con base en el montaje de la obra teatro musical “Gloria, un canto a la vida. Por otro lado, se han realizado 4 espacios de creación con la comunidad y los niños, niñas, adolescentes y jóvenes de Idipron, 16 talleres de arte dramático y 12 talleres de artes plásticas, en el mes de agosto, además  se focalizó en arte dramático con la ejecución de 16 talleres que abordaron competencias de improvisación, voz, creación, lectura, interpretación y expresión corporal, en un proceso artístico interdisciplinario, ya que incluye arte dramático, artes plásticas y acompañamiento musical, este último componente es apoyado directamente por Idipron en el Conservatorio Javier de Nicoló, ubicado en el barrio La Favorita. Por otra parte, la UPI- 32 y el taller de madera de la UPI Perdomo.
Para este tercer trimestre del año, se reportan 164 beneficiarios de 10 actividades que corresponden a talleres de formación, propuestas en el marco de las Actividades de la Estrategia Habitar mis Historias.</t>
  </si>
  <si>
    <t xml:space="preserve">Durante los tres primeros trimestres del año 2019 el Instituto Distrital de las Artes en cumplimiento de la meta de “Desarrollar 20 procesos de participación y concertación con sectores artísticos” desarrolló con el acompañamiento del equipo institucional 12 procesos de participación y concertación con sectores artísticos. En el cumplimiento de esta meta además del componente asociado al Sistema Distrital de Arte Cultura y Patrimonio a través de sus Consejos Distritales de área artística, se han impulsado otras instancias de participación donde se busca vincular a la ciudadanía dentro del acompañamiento a la gestión institucional como una estrategia que permita la eficiencia en las actividades que desarrolla la entidad de cara a la ciudadanía. 
Los espacios de partición que se desarrollaron en durante los tres primeros trimestres del año 2019 corresponden a: 
• Gerencia de Artes Plásticas y visuales: la gerencia para la vigencia 2019, desarrolla dos espacios de participación distintos a saber: el Comité para la Práctica responsable del Arte Urbano y el Graffit y el Consejo Distrital de Artes Plásticas y Visuales.
Comité para la Práctica responsable del Arte Urbano y el Graffiti en la ciudad,  la primera reunión fue realizada el día 13 de marzo de 2019, se habló del seguimiento al día de arte urbano 2018 organizado por la mesa distrital de grafiti, se presentó la propuesta para el reglamento interno el cual se envió a los integrantes para revisión, se habló de las acciones de arte urbano responsable en tomas interinstitucionales promovidas por la Secretaría Distrital de Gobierno y se planteó una propuesta para la celebración de Día del Arte Urbano 2019 – Festivales locales – IDPAC, se contó con la participación de 11 asistentes., la segunda sesión se realizó el día 12 de junio en ella se revisa el reglamento interno del comité, se socializa el Plan de acción 2019 y se continúa el seguimiento a la planeación del Día del Arte Urbano 2019. Adicionalmente, se dialoga sobre estímulos y becas de arte urbano en la localidad de Ciudad Bolivar, en este espacio participaron 13 asistentes, sumado a lo anterior la 3 reunión se desarrolló el 27 de agosto en ella se presentó la propuesta para el Día del Arte Urbano – Crear para Transformar y se eligieron las propuestas gráficas desarrolladas por las mesas locales. Estas propuestas se ejecutaron el 31 de agosto de 2019 en el centro creativo del Bronx y la actividad culminó con un desfile apoyado por estudiantes de la CUN, teniendo una asistencia superior a las 400 personas, de este espacio de reunión se tuvó el registro de 12 asistentes. 
Consejo Distrital de Artes Plásticas y Visuales, se desarrollaron 7 distintas sesiones, la primero de ellos el día 9 de abril, en este espacio se contó con la participación de 7 consejeros, representantes de las localidades de Usaquén, Santa Fe, San Cristóbal, Usme, Barrios Unidos, Teusaquillo, Antonio Nariño, La Candelaria y Ciudad Bolívar, en este espacio se realizó el proceso de votación mediante el cual quedó elegido el representante de la localidad de Santa Fe, Luis Guillermo Valero Vargas como representante del Consejo. La segunda sesión se desarrolló el día 7 de mayo y contó con la participación de 5 consejeros, la tercera se desarrolló el 4 de junio con 5 consejeros asistentes, en estas reuniones se atendieron solicitudes y dudas de los integrantes, se socializaron los distintos proyectos gestionados a partir de la Gerencia de Artes Plásticas, y se trabajó en la construcción de una metodología de análisis de cada subsector con el objetivo de establecer propuestas que respondan a las demandas y necesidades de cada uno, la cuarta sesión se desarrolló el día 9 de julio contó con la participación de 5 asistentes, en esta el representante de las Instituciones de Educación Superior o centros de estudio, presentó ante el Consejo una ruta metodológica planteada desde su subsector para la construcción de una política pública, la quinta sesión se desarrolló el día 9 de agosto con 7 participantes, en este espacio se socializó la resolución que reglamentó el proceso de elección atípica para la inclusión de nuevos consejeros, además,se le comentó a los consejeros la necesidad de su participación en la construcción del anteproyecto de presupuesto a través de la priorización de las líneas de inversión en el campo de las artes plásticas desde Idartes para 2020, la secta sesión fue desarrollada el día 03 de septiembre contó con 9 asistentes en este espacio se socializó el resultado de la postulación de candidatos para la elección atípica y se planeó la logística del encuentro Arte y ciudadanía y finalmente en la sesión 7 extraordinaria se ajustaron todos los requerimientos logísticos para el desarrollo del encuentro Arte y ciudadanía, de este espacio participaron 5 asistentes. 
• Gerencia de Artes Audiovisuales, la Gerencia para la vigencia 2019 desarrolla dos distintos espacios de un lado el Consejo Distrital de Artes Audiovisuales y la Comisión Fílmica de Bogotá -PUFA
Consejo Distrital de Artes Audiovisuales, se han desarrollado 4 sesiones, en la primera sesión desarrollada el día 27 de marzo de 2019 que contó con la participación de 7 Consejeros Locales se eligió al representante de ellos ante el Comité Distrital, la segunda sesión celebrada el día 03 de abril de 2019 se dieron los primeros lineamientos para la construcción de la agenda participativa anual y el Acuerdo de Trabajo del Consejo en este espacio se contó con 8 Consejeros; la tercera sesión fue desarrollada el día 29 de mayo en esta se procedió con la presentación de cada uno de los consejeros asistentes. Cada uno presentó un diagnóstico sobre su subsector, definió cuáles serían los principales objetivos a 4 años para cada subsector y realizó propuestas de actividades concretas a realizar para su fortalecimiento; finalmente la cuarta sesión se desarrolló el día 5 de agosto de 2019 en  esta sesión se socializó el plan de acción de la gerencia 2020, su estructura misional, su organigrama y los estímulos que actualmente maneja la Gerencia y contó con la participación de 6 asistentes. 
Comisión Filimica de Bogotá –PUFA, en lo corrido del año 2019 se han desarrollado 3 sesiones de este espacio, la primera sesión   fue realizada el 14 de marzo de 2019, contando con la presencia de 12 asistentes. Los temas tratados a nivel general fueron: Socialización del Nuevo Decreto PUFA y CFB (794 de 2018), resultados del PUFA (Noviembre de 2018 a Febrero de 2019), presentación del Plan de trabajo CFB 2019, Socialización de nuevo reglamento CFB (Programación de sesión virtual) y seguimiento a compromisos sesión anterior (año 2018), la segunda sesión fue realizada el 23 de abril de 2019, contando con la participación de 8 personas. El tema tratado en esta sesión fue la Aprobación del reglamento de la Comisión Fílmica de Bogotá, finalmente la tercera sesión fue realizada el 4 de julio de 2019, contó con la presencia de 12 asistentes. Los temas tratados fueron: Socialización del porcentaje variable del Idartes en las exenciones de los proyectos beneficiados de la Ley 1556 de 2012, socialización del porcentaje variable del permiso urgente, evaluación del mecanismo de elección de los dos (2) representantes de las Industrias Audiovisuales y socialización del nuevo logo de la Comisión Fílmica de Bogotá.
• Gerencia de Música,  la gerencia en la vigencia 2019 desarrolla el espacio de Consejo Distrital de Música.
Consejo Distrital de Música,  se realizaron cinco reuniones del Consejo, la primera de ellas realizada el día 26 de marzo de 2019 en las instalaciones de Idartes en la que asistieron los consejeros de las localidades de Teusaquillo (María Barreiro), Fontibón (Julián Osorio), Puente Aranda (Luis Alberto Camacho), Bosa (Alín Martínez), Usme (Diego Martínez) y Suba (María del Pilar Barrera), se escucharon propuestas de los consejeros de Fontibón, Suba y Bosa. Finalmente, la votación dio como representante al consejero de Bosa, Alín Martínez, la segunda sesión desarrollada el día 9 de abril contó con la participación de 12 consejeros en esta sesión se realizó una revisión preliminar del Reglamento del Consejo, y se definieron las delegaciones para el Consejo Distrital de Arte, Cultura y Patrimonio, Consejo Distrital de Artes, Consejo Nacional de Música, y el Comité Parafiscal de la LEP, la tercera reunión realizada el día 9 de mayo contó con la participación de 11 consejeros, en este espacio se concertaron los ajustes definitivos al Reglamento actualizado al Decreto 480 de 2018, y se plantearon posibles temas para definir la agenda participativa anual, y también se planteó la idea de formalizar un documento que recogiera necesidades del sector musical para exponerlo a los candidatos a la Alcaldía de Bogotá, manifestando la importancia del apoyo a la música en Bogotá, resaltando su impacto directo en la ciudad en diferentes campos (económico, turístico, artístico, etc.), la cuarta sesión desarrollada el 6 de junio luego del planteamiento de ideas para la agenda anual de la sesión anterior, se expusieron los avances del proyecto Bogotá Ciudad Creativa de la Música, lo cual permitió aterrizar y priorizar dichas ideas, para de esta forma consolidar una agenda participativa que se centre en necesidades más próximas para el sector, en este espacio se contó con la asistencia de 11 consejeros, finalmente la quinta sesión fue desarrollada el 1 de agosto contó con la asistencias de 7 consejeros y en este espacio se hizo una socialización de la totalidad de las ideas aportadas en la sesión extraordinaria anterior con miras a la consolidación de la agenda participativa, y en la que se dio luces a los consejeros sobre los alcances del Idartes frente a algunas de las inquietudes que surgieron acerca de las diferentes problemáticas sectoriales, y de cuáles podrán ser las entidades que eventualmente podrían solventar algunas de ellas. Así mismo, se definió que los consejeros dialogaran con sus sectores para establecer actividades en las cuales se gestionaran actividades como foros, conversatorios o talleres con dichas entidades, o con distintos actores de cada sector respectivo, planteando además fechas, horas y lugares tentativos
• Gerencia de Danza, para la vigencia 2019 la gerencia de danza desarrolla 4 espacios distintos de participación a saber: Consejo Distrital de Danza, Mesa Sectorial de Danza, Mesa de Universidades y Espacio de Participación Programa Orbitante, Plataforma Danza Bogotá 
Mesa de Universidades, se han realizado a la fecha 4 sesiones de la mesa que es un espacio promovido por la gerencia de danza desde 2017 y tiene el propósito de generar un escenario común de reflexión y acción con los programas universitarios de formación respecto al devenir del campo profesional de la danza. La primera sesión fue desarrollada el día 30 de enero y contó con la participación de 11 personas, la segunda se desarrolló el día 06 de marzo y en ella participaron 11 personas, la tercera se llevó a cabo el dia 26 de marzo y asistieron 9 personas, y finalmente la cuarta sesión se desarrolló el día 5 de septiembre y en ella participaron 13 personas, los temas principales han  la invitación de la gerencia a los integrantes de la Mesa a participar de un proceso de investigación más sólido en el que se caracterice al sector de la danza en Bogotá, se genere la Cátedra Archivo Vivo y se articule el programa Plataforma Danza Bogotá con estudiantes de últimos semestres de cada universidad para el desarrollo de una experiencia artística entendida esta como una experiencia de primer empleo, además se acordó realizar la prueba piloto del instrumento No. 1 de recolección de información sobre el oficio de la danza en la ciudad de Bogotá, resultados que aportaran al ejercicio de investigación y reconocimiento del sector de la danza. Igualmente, inició la aplicación del instrumento en mención
Consejo Distrital de Danza,  se  han desarrollaron 4 sesiones del Consejo Distrital de Danza, la primera reunión  el día 27 de marzo de 2019 contó con la participación de 11 consejeros locales, en este espacio se presentó el plan de acción en danza con sus programas y proyectos y se realizó de manera satisfactoria la selección del delegado de danza de los consejos locales que se integrará al Consejo Distrital de Danza, la segunda sesión desarrollada el 29 de abril con el fin de socializar con los consejeros distritales los procesos de danza de las localidades desde la perspectiva de los consejeros locales y compartir información entre los diferentes consejeros locales y distritales de danza, la tercera sesión se desarrolló el día 17 de mayo en la cual se dio la presentación de los consejeros y la definición de las diferentes delegaciones para los procesos de participación, y la cuarta desarrollada el día 17 de junio para definir las posibles temáticas a considerar para el desarrollo de la segunda mesa sectorial de danza que se proyecta desarrollar en el mes de agosto del presente año.
Programa Orbitante, Plataforma Danza Bogotá, se generaron 2 espacios de participación, el primero de ellos  relacionado con  las visitas de retroalimentación en la cual se realizaron visitas a 8 de las 13 agrupaciones residentes temporales I y permanentes como parte del proceso de evaluación participativa del programa, las cuales se realizaron los días 21 y 27 de mayo contando con la participación de 76 personas entre bailarines y directores; y por otro lado el segundo espacio relacionado con la  celebración orbitante donde a través de la metodología dragon dreaming, este proceso de evaluación participativa permitió observar, pensar y recoger las percepciones y las expectativas de los agentes del sector con el programa Orbitante.  Se llevó a cabo durante el mes de junio y contó con una etapa previa de consulta con participantes de la plataforma, una etapa de producción durante el laboratorio con los participantes y beneficiaros de la plataforma y una etapa posterior con el equipo desarrollador y el equipo de la gerencia de danza. Su resultado será entregado en el mes de julio, este espacio contó con la participación de 24 ciudadanos.
Mesa Sectorial de Danza, se han realizado dos sesiones de la mesa, la primera de ellas el día 29 de abril para socializar con los consejeros distritales los procesos de danza de las localidades desde la perspectiva de los consejeros locales y compartir información entre los diferentes consejeros locales y distritales de dan, la segunda sesión se desarrolló el día 11 de septiembre que tuvo como foco socializar las diferentes estrategias de fomento de la Gerencia de Danza y sus diversas formas de implementarse, adicionalmente se trabajó con los participantes en 4 mesas de trabajo, para conversar sobre temas relativos al portafolio de convocatorias de danza y para la retroalimentación de 2020.
• Gerencia de Literatura, la gerencia de literatura para la vigencia 2019 cuenta con un  único espacio de participación denominado Consejo Distrital de Literatura.
Consejo Distrital de Literatura, se han desarrollado 4 sesiones del Consejo, la primera de ellas el día, la primera reunión realizada el día 9 de abril en esta se hizo una inducción a los nuevos consejeros y se revisó el Decreto N° 480 del 17 de agosto de 2018,  esta reunión asistieron 12 personas, la segunda reunión fue realizada el día 14 de mayo en esta sesión se  realizó una sesión extraordinaria en la que se acordó el plan de acción de este año, en esta reunión participaron 9 personas entre consejeros e invitados, la tercera sesión fue desarrollada el día 25 de julio asistieron 15 personas en esta sesión se presentaron a los consejeros sus líneas de acción y las actividades que desarrollan desde sus entidades para la población y para el sector, finalmente la cuarta sesión fue desarrollada el 17 de septiembre asistieron 8 personas y  en ella los consejeros presentaron propuestas de actividades a desarrollar para beneficio de la ciudadanía y con relación a la literatura, el libro y la lectura. Estas propuestas se siguen trabajando a través de un erice con el propósito de presentarlas a la nueva administración.
• Gerencia de Arte Dramático, la gerencia  cuenta con un único espacio de participación para esta vigencia denominado Consejo Distrital de Arte Dramático 
Consejo Distrital de Arte Dramático. se han desarrollado 5 sesiones, la primera reunión se llevó a cabo el 2 de abril en las instalaciones del Idartes; contó con la asistencia de 7 consejeros quienes eligieron como delegada del CDAD a la consejera Paola Romero, el segundo espacio realizado el 9 de abril con el objetivo dar inicio a las actividades del espacio de participación, en esta sesión se logró realizar el acuerdo de trabajo del consejo, con los lineamientos que el espacio pactó para reglamentar su funcionamiento, además, se realizaron las delegaciones distritales y nacionales solicitadas al consejo y por último se aportaron insumos para la realización de la agenda participativa 2019 del consejo, esta sesión contó con la asistencia de 8 consejeros, la tercer sesión desarrollada el día 24 de mayo se realizó con el propósito de trabajar en la realización de la Agenda Participativa del Consejo y también para realizar la delegación para el Comité Distrital de la Contribución Parafiscal de los Espectáculos Públicos de las Artes Escénicas, la sesión contó con la asistencia de 9 consejeros de manera presencial y 1 consejero de manera virtual, la cuarta sesión fue desarrollada el día 2 de agosto esta tuvo por objetivo la aprobación de la Agenda Participativa del Consejo, la situación sobre delegación Comité Distrital de la contribución parafiscal de los espectáculos públicos de las Artes Escénicas y por último el informe de las sesiones de los Consejos Distritales, en esta se contó con la participación de 8 consejeros presenciales y 1 de manera virtual, finalmente la 5 sesión se desarrolló el día 29 de agosto en este se realizó la revisión del Decreto 081 de 2019 y la socialización de temas de agenda de los Consejeros Locales pertinentes para el Consejo Distrital de Arte Dramático. Esta sesión tuvo la participación de 7 consejeros distritales.
• Subdirección de las Artes, la Subdirección para la vigencia 2019 desarrollará dos espacios de participación a saber: el Consejo Distrital de las Artes y  la Asamblea Distrital de las Artes.
Consejo Distrital de las Artes, en lo corrido del año se han realizado 2 sesiones, la primera de ellas el día 4 de julio de 2019, en la cual se contó con la asistencia de 22 personas, la segunda sesión se desarrolló el día 22 de agosto y contó con 18 asistentes, las principales acciones desarrolladas han sido: llevar a cabo el nombramiento como presidenta a Katherine Ávila delegada del Consejo de Artes Audiovisuales con nueve de diez votos a su favor; se aprobó la Agenda Participativa Anual -APA-, que tienen como fin establecer la ruta de trabajo a cor-to y mediano plazo. Para esto se nombró un Comité Técnico conformado por Paola Andrea Romero delegada del Consejo de Arte Dramático, Katherine Ávila, Alejandro Espinoza delegado del Consejo de Artes Plásticas y Audiovisuales, Miller Ignacio Garzón delegado del Consejo de Danza, Manuela Ja-ramillo como delegada de la directora del Instituto e Ismael Ortiz representando al área de Participación de la SCRD. Los tres temas priorizados para desarrollar en las sesiones por realizarse del año 2019 fueron los siguientes: preparación para el debate con los candidatos a la alcaldía de Bogotá, Fomento y Presupuesto Participativo.  A la fecha se han desarrollado dos de los tres temas priorizados.
Asamblea Distrital de las Artes, se ha desarrollado un plan de trabajo consistente en la definición de cronograma y acciones para la realización de la asamblea propuesta para el 15 de noviembre de 2019. Se ha conformado un equipo de trabajo con delegados de la Oficina Asesora de Planeación, Oficina de Comunicaciones, Dirección General y Subdirección de las Artes y se ha socializado con los Gerentes de áreas en el marco de Comité de Subdirección de las Artes con fecha 4 de septiembre y 24 de septiembre de 2019.
Los 8 espacios de participación restantes pertenecientes a las mesas de arte poblaciones de Sectores Sociales y Grupo Étnicos serán desarrolladas en el último trimestre del año, motivo por el cual se incluirán en el reporte de gestión final.
En total a la fecha  los procesos de participación realizados por la entidad en los tres primeros trimestres de la vigencia 2019, reportaron 469 asistencias, en 45 distintas sesiones en procesos asociados a 6 áreas artísticas y la Subdirección de las Artes.  
</t>
  </si>
  <si>
    <t xml:space="preserve">Durante los tres primeros trimestres del año 2019 el Instituto Distrital de las Artes, en avance del cumplimiento de la meta de “Realizar 11.100 actividades artísticas incluyentes y descentralizadas para la transformación social en las 20 localidades”, ha realizado 9.356 actividades en las 20 localidades de la ciudad contando con la participación de 934.700 ciudadanos.
Con el propósito de avanzar en la implementación de la política pública territorial y poblacional, el Idartes ha configurado y consolidado programas que han encausado los esfuerzos institucionales hacia la ejecución de actividades agregadas en programas y proyectos, caracterizados por su claro enfoque hacia los territorios, así como hacia los distintos grupos y sectores poblacionales.
Las actividades desarrolladas durante los tres primeros trimestres de 2019 asociadas a la presente meta han sido realizadas a través de la gestión de las 6 gerencias artísticas, el equipo poblacional, la Línea Estratégica Arte Para la Transformación Social y el programa Crea a través de la línea (laboratorio Crea), el detalle por área se presenta a continuación: 
• Artes Plásticas y Visuales, se desarrollaron actividades como la inauguración de la nueva Sede de la Galería Santafé ubicada en la Plaza de la Concordia de la localidad de la Candelaria,  en ella se presentaron las exposiciones Claustros, liceos y gimnasios de Juan David Laserna, y Cuerpo social, político y crítico de la VI Bienal de Performance PerfoArtnet 2018,  por otro lado se desarrollan actividades asociadas al proyecto Red Galería Santafé como conjunto de acciones, planes, proyectos, y espacios que se articulan para fomentar el intercambio de saberes y prácticas en el campo de las artes plásticas y visuales de la ciudad, además de la Escuela de Mediación de la Galería Santafé con laboratorios como Ciudad Potencial, sumado a ello el 45 SNA Salón Nacional de Artistas, además el Programa Artbo Tutor, el Convenio de Cooperación No. 01511700 con el Banco de la República, Proyecto Distrito Grafiti, y la reactivación del Centro de Documentación de la Galería Santa Fe Concordia, en total la gerencia en los tres primeros trimestres del año realizó 680 actividades.
• Literatura, se desarrollaron programas como Bogotá Contada, donde se realizan actividades en torno a la apropiación de la literatura con la visita de autores a la ciudad, Picnics Literarios de Gran Formato realizados el 31 de marzo y 4 de agosto de 2019 con actividades como trueques literarios, talleres de dibujo,  talleres de cuentos, juegos literarios, lecturas dramáticas, presentaciones y conciertos, de otro lado se realizaron actividades de circulación como la Feria Popular del Libro, y la Feria del Libro de Bogotá que conto con dos frentes la agenda de Corferias con 183 eventos, y Filbo en la ciudad con 111 eventos; de otro lado a través de la Casa de Poesía Silva se realizaron talleres de formación, Biblioteca, Fonoteca, Visitas Guiadas, y promoción del poesía; además las actividades realizadas en el marco de septiembre literario donde se reportan hasta el momento 9 actividades (1 presentación artística (recital de poesía) y 8 conversatorios) en 5 localidades y lectura bajo los árboles, en total la gerencia durante los tres primeros trimestres desarrolló 659 actividades. 
• Danza, a través del programa Orbitante, Plataforma Danza Bogotá, se desarrollaron actividades en 5 localidades, asociadas a reuniones, procesos curatoriales, residencias, procesos de creación, funciones, asesorías coreográficas, pasantías y laboratorios,  a través del programa Difusión Danza en la ciudad se realizaron actividades en 7 localidades de la ciudad se desataca Día Internacional de la Danza, Dia de la Afrocolombianidad, Gala Danza Mayor, y las audiciones de Folclor y Danza Mayor, a través del Programa Danza y comunidad se dieron actividades en 6 localidades se desataca Danza y Salud, ensayos ocasionales, Habitar mi Cuerpo y Archivo Vivo, En total la Gerencia desarrolló 541 actividades para los tres primeros trimestres del año.
• Arte Dramático, se desarrollaron actividades como el Diplomado actividades de formación y circulación para jóvenes creadores Alteratro, este proceso conto con laboratorios y  el Encuentro, sumado ello se realizó el proceso de formación en técnicas de acrobacia para la escena, además de formación, creación y circulación asociadas a las prácticas artísticas Circenses y actividades con enfoque poblacional y territorial “ Teatro a la mano” y “ teatro en Comunidad”, actividades de 33 contratos de interés público a través del Programa Distrital de Salas Concertadas, en total la Gerencia desarrolló 1.507 actividades durante los tres primeros trimestres del año. 
• Artes Audiovisuales, Se realizó la Inauguración de la Nueva Sede de la Cinemateca de Bogotá, espacio en el cual se puso a disposición de la ciudad 8500 mts2 para el desarrollo de las prácticas y promoción de las Artes Audiovisuales en la ciudad, además se desarrollaron acciones como Públicos y saberes que contó con actividades como Formación de Públicos, Vive la Cinemateca y Cátedra Cinemateca, sumado a  estos a través de la acción formas de Ver se desarrollaron actividades como la Programación de Salas (Muestras Especiales, franjas, Ciclos especiales y retrospectivas y Festivales), Pelis Por Bogotá y Salas Asociadas, además a través de archivo Vivo y memoria se desarrollaron actividades en torno a la preservación y de formación en patrimonio audiovisual en la Biblioteca Especializada Becma y  a través de Creación y Experimentación, actividades como Cinemateca Rodante, Talleres, Microtalleres y Laboratorios, Residencias, #Dastos y Relatos, maratones creativas y Club de programación, en total la Gerencia desarrolló para los tres primeros trimestres del año 1.390  actividades. 
• Música, asociado al primer componente que desarrolla el área denominado festivales al parque se desarrollaron durante el periodo enero - septiembre  actividades en el marco de los festivales Rock al Parque para su versión No 25, Colombia al Parque y Jazz al Parque, además de las acciones de planeación para la realización de Salsa al Parque y Hip Hop al Parque, de otra parte el componente denominado actividades circulación en el cual se articula el compilado Bogotá Suena, desarrolló toda la fase de masterización y entrega de Bogotá Suena Volumen 3, en Relatos Mayores, Serenatas al Centro y en Clave de Calle se realizó todo el proceso de invitación pública, de otro la en Bogotá Ciudad Creativa de la Música donde se desarrolló la fase de formulación del Plan Estratégico, y se participaron en seminarios internacionales, y se confirmó la participación de la ciudad en la acuerdos con ciudades como Lyon y Berlin; a su vez en el componente de formación e investigación se avanzó en la proyección del documento misional que da estructura al programa de formación y cualificación que desarrollará los módulos Enfoca, Modulación, Plantario y Seremus, de los cuales ya se cuenta con cronogramas y contenidos de módulos y foro , en total durante los tres primeros trimestres del año 2019 la gerencia desarrolló 86 actividades distintas. 
• Poblaciones (Sectores Sociales y Grupos Étnicos), durante los tres primeros trimestres de la vigencia 2019 la línea poblacional de la entidad ha desarrollado 357 actividades distintas, entendidas estas como acciones de reconocimiento de las prácticas artísticas de grupos étnicos, etareos y sectores sociales, se destacan actividades como el Laboratorio de Arte con Personas con Discapacidad y Personas Cuidadoras, la estrategia territorial Artífices, y la Estrategia habitar Mis Historias: Laboratorio con Personas Habitantes de Calle, Escuela de arte y oficios trans, Estreategía Seres: Procesos de gestión cultural y artpistica con Sectores Sociales, participación en Filbo 2019, Becas dirigidas a población Afrodescendiente en Oraliteratura, circulación de ensamble y nuevas formas de visibilidad, exposición Other Another, presentación territorio, cuerpo ancestral, taller la música cida, taller Quimbaya y el taller la paz se toma la palabra, entre otras. 
• Línea Estratégica Arte Para la Transformación Social, se destaca la realización de actividades a través del programa Idartes Rural, a través del cual se desarrollaron talleres de danza, música, artes plásticas y visuales, y procesos de sensibilización dirigidos a comunidades rurales y campesinas en las zonas rurales de las localidades de Santafé y Chapinero, además de las actividades de la beca, por otro lado  a través del programa Parques Para Todos específicamente en la Beca de Creación Parques Para Todos se desarrollaron encuentros en arte para la transformación social, talleres y laboratorios, con las comunidades de las localidades de Los Mártires, Usme, Ciudad Bolívar, Bosa, Kennedy, San Cristóbal, la Candelaría y Suba; sumado a ello actividades artísticas en el marco de los convenio interadministrativos 003 de 2017 y 004 de 2017, las actividades realizadas en el marco del III Seminario Internacional Cultura &amp; Arte Para la Transformación Social, en total durante los tres primeros  trimestres la línea realizó 466 actividades.
• Programa Crea a través de la línea laboratorio Crea en términos operativos y de gestión se han realizado nuevas alianzas y se han consolidado convenios interadministrativos con la Secretaría de Seguridad Convivencia y Justicia, en donde se contrataron artistas especializados para trabajar con población privada de la libertad y jóvenes en el proceso de responsabilidad penal. De igual manera se han realizado alianzas con el Centro Nacional de Memoria Histórica para trabajar con personas excombatientes y para realizar procesos de formación a formadores, además a la fecha se cuenta con 127 grupos consolidados en 20 centros Crea de las localidades con 3.672 actividades realizadas.
En total la oferta artística de la entidad se realizó en las 20 localidades de la ciudad, y en 94 UPZ distintas pertenecientes a estas localidades, se resalta además el desarrollo de actividades en zonas rurales de la ciudad tal es el caso de UPR Cerros Orientales, UPR Cuenca del río Sumapaz, UPR El Verjón Alto, UPR El Verjón Bajo, UPR Los Soches, UPR Río Sumapaz, UPR Río Tunjuelo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</si>
</sst>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_);_(* \(#,##0.00\);_(* \-??_);_(@_)"/>
    <numFmt numFmtId="165" formatCode="_(* #,##0_);_(* \(#,##0\);_(* \-??_);_(@_)"/>
    <numFmt numFmtId="166" formatCode="_(* #,##0_);_(* \(#,##0\);_(* \-_);_(@_)"/>
    <numFmt numFmtId="167" formatCode="0.0%"/>
    <numFmt numFmtId="168" formatCode="_(* #,##0_);_(* \(#,##0\);_(* &quot;-&quot;_);_(@_)"/>
    <numFmt numFmtId="169" formatCode="_(* #,##0.00_);_(* \(#,##0.00\);_(* &quot;-&quot;_);_(@_)"/>
    <numFmt numFmtId="170" formatCode="_(* #,##0.0_);_(* \(#,##0.0\);_(* \-??_);_(@_)"/>
    <numFmt numFmtId="171" formatCode="_(* #,##0.00_);_(* \(#,##0.00\);_(* \-_);_(@_)"/>
    <numFmt numFmtId="172" formatCode="_-* #,##0.000_-;\-* #,##0.000_-;_-* &quot;-&quot;_-;_-@_-"/>
  </numFmts>
  <fonts count="17" x14ac:knownFonts="1">
    <font>
      <sz val="11"/>
      <color theme="1"/>
      <name val="Calibri"/>
      <family val="2"/>
      <scheme val="minor"/>
    </font>
    <font>
      <sz val="11"/>
      <color theme="1"/>
      <name val="Calibri"/>
      <family val="2"/>
      <scheme val="minor"/>
    </font>
    <font>
      <b/>
      <sz val="10"/>
      <color rgb="FF000000"/>
      <name val="Calibri"/>
      <family val="2"/>
    </font>
    <font>
      <sz val="11"/>
      <color rgb="FF000000"/>
      <name val="Calibri"/>
      <family val="2"/>
    </font>
    <font>
      <sz val="10"/>
      <color rgb="FF000000"/>
      <name val="Calibri"/>
      <family val="2"/>
    </font>
    <font>
      <sz val="10"/>
      <color rgb="FFFF0000"/>
      <name val="Calibri"/>
      <family val="2"/>
    </font>
    <font>
      <b/>
      <sz val="10"/>
      <name val="Calibri"/>
      <family val="2"/>
    </font>
    <font>
      <sz val="10"/>
      <name val="Calibri"/>
      <family val="2"/>
    </font>
    <font>
      <b/>
      <sz val="11"/>
      <color rgb="FF000000"/>
      <name val="Calibri"/>
      <family val="2"/>
    </font>
    <font>
      <sz val="11"/>
      <name val="Calibri"/>
      <family val="2"/>
    </font>
    <font>
      <b/>
      <sz val="11"/>
      <name val="Calibri"/>
      <family val="2"/>
    </font>
    <font>
      <sz val="9"/>
      <color rgb="FF000000"/>
      <name val="Calibri"/>
      <family val="2"/>
    </font>
    <font>
      <b/>
      <sz val="9"/>
      <color indexed="81"/>
      <name val="Tahoma"/>
      <family val="2"/>
    </font>
    <font>
      <sz val="9"/>
      <color indexed="81"/>
      <name val="Tahoma"/>
      <family val="2"/>
    </font>
    <font>
      <b/>
      <sz val="9"/>
      <color indexed="8"/>
      <name val="Tahoma"/>
      <family val="2"/>
    </font>
    <font>
      <b/>
      <sz val="9"/>
      <color indexed="8"/>
      <name val="Tahoma"/>
      <family val="2"/>
      <charset val="1"/>
    </font>
    <font>
      <sz val="9"/>
      <color indexed="81"/>
      <name val="Tahoma"/>
      <charset val="1"/>
    </font>
  </fonts>
  <fills count="35">
    <fill>
      <patternFill patternType="none"/>
    </fill>
    <fill>
      <patternFill patternType="gray125"/>
    </fill>
    <fill>
      <patternFill patternType="solid">
        <fgColor rgb="FF969696"/>
        <bgColor rgb="FF808080"/>
      </patternFill>
    </fill>
    <fill>
      <patternFill patternType="solid">
        <fgColor rgb="FF99CC00"/>
        <bgColor rgb="FFFFCC00"/>
      </patternFill>
    </fill>
    <fill>
      <patternFill patternType="solid">
        <fgColor rgb="FFFFFFFF"/>
        <bgColor rgb="FFFFFFCC"/>
      </patternFill>
    </fill>
    <fill>
      <patternFill patternType="solid">
        <fgColor rgb="FF00B050"/>
        <bgColor rgb="FF000000"/>
      </patternFill>
    </fill>
    <fill>
      <patternFill patternType="solid">
        <fgColor rgb="FF92D050"/>
        <bgColor rgb="FF000000"/>
      </patternFill>
    </fill>
    <fill>
      <patternFill patternType="solid">
        <fgColor rgb="FFFFFFFF"/>
        <bgColor rgb="FF000000"/>
      </patternFill>
    </fill>
    <fill>
      <patternFill patternType="solid">
        <fgColor rgb="FF92D050"/>
        <bgColor rgb="FFFFFFCC"/>
      </patternFill>
    </fill>
    <fill>
      <patternFill patternType="solid">
        <fgColor rgb="FFA6A6A6"/>
        <bgColor rgb="FF000000"/>
      </patternFill>
    </fill>
    <fill>
      <patternFill patternType="solid">
        <fgColor rgb="FF00CCFF"/>
        <bgColor rgb="FF33CCCC"/>
      </patternFill>
    </fill>
    <fill>
      <patternFill patternType="solid">
        <fgColor rgb="FFFFFF00"/>
        <bgColor rgb="FFFFFFCC"/>
      </patternFill>
    </fill>
    <fill>
      <patternFill patternType="solid">
        <fgColor rgb="FF33CCFF"/>
        <bgColor rgb="FFFFFFCC"/>
      </patternFill>
    </fill>
    <fill>
      <patternFill patternType="solid">
        <fgColor rgb="FF33CCFF"/>
        <bgColor rgb="FF000000"/>
      </patternFill>
    </fill>
    <fill>
      <patternFill patternType="solid">
        <fgColor rgb="FFFFFFFF"/>
        <bgColor rgb="FFFFFF00"/>
      </patternFill>
    </fill>
    <fill>
      <patternFill patternType="solid">
        <fgColor rgb="FF800080"/>
        <bgColor rgb="FF800080"/>
      </patternFill>
    </fill>
    <fill>
      <patternFill patternType="solid">
        <fgColor rgb="FF800080"/>
        <bgColor rgb="FFFFFFCC"/>
      </patternFill>
    </fill>
    <fill>
      <patternFill patternType="solid">
        <fgColor rgb="FF800080"/>
        <bgColor rgb="FF000000"/>
      </patternFill>
    </fill>
    <fill>
      <patternFill patternType="solid">
        <fgColor rgb="FFFF8080"/>
        <bgColor rgb="FFFF99CC"/>
      </patternFill>
    </fill>
    <fill>
      <patternFill patternType="solid">
        <fgColor rgb="FFFF7C80"/>
        <bgColor rgb="FFFFFFCC"/>
      </patternFill>
    </fill>
    <fill>
      <patternFill patternType="solid">
        <fgColor rgb="FFFF7C80"/>
        <bgColor rgb="FFCCCCFF"/>
      </patternFill>
    </fill>
    <fill>
      <patternFill patternType="solid">
        <fgColor rgb="FFFF7C80"/>
        <bgColor rgb="FF000000"/>
      </patternFill>
    </fill>
    <fill>
      <patternFill patternType="solid">
        <fgColor rgb="FFFFFF99"/>
        <bgColor rgb="FFFFFFCC"/>
      </patternFill>
    </fill>
    <fill>
      <patternFill patternType="solid">
        <fgColor rgb="FFFFFF99"/>
        <bgColor rgb="FF000000"/>
      </patternFill>
    </fill>
    <fill>
      <patternFill patternType="solid">
        <fgColor rgb="FFFFFFFF"/>
        <bgColor rgb="FFC0C0C0"/>
      </patternFill>
    </fill>
    <fill>
      <patternFill patternType="solid">
        <fgColor rgb="FF2F75B5"/>
        <bgColor rgb="FF003366"/>
      </patternFill>
    </fill>
    <fill>
      <patternFill patternType="solid">
        <fgColor rgb="FFFFCC00"/>
        <bgColor rgb="FFFFFF00"/>
      </patternFill>
    </fill>
    <fill>
      <patternFill patternType="solid">
        <fgColor rgb="FFFFC000"/>
        <bgColor rgb="FF000000"/>
      </patternFill>
    </fill>
    <fill>
      <patternFill patternType="solid">
        <fgColor rgb="FF00B050"/>
        <bgColor rgb="FFFFFFCC"/>
      </patternFill>
    </fill>
    <fill>
      <patternFill patternType="solid">
        <fgColor rgb="FFFFC000"/>
        <bgColor rgb="FFFFFFCC"/>
      </patternFill>
    </fill>
    <fill>
      <patternFill patternType="solid">
        <fgColor rgb="FFA6A6A6"/>
        <bgColor rgb="FF808080"/>
      </patternFill>
    </fill>
    <fill>
      <patternFill patternType="solid">
        <fgColor rgb="FF33CCCC"/>
        <bgColor rgb="FF00CCFF"/>
      </patternFill>
    </fill>
    <fill>
      <patternFill patternType="solid">
        <fgColor rgb="FFFFFFFF"/>
        <bgColor rgb="FFCCCCFF"/>
      </patternFill>
    </fill>
    <fill>
      <patternFill patternType="solid">
        <fgColor rgb="FF66FFFF"/>
        <bgColor rgb="FFFFFFCC"/>
      </patternFill>
    </fill>
    <fill>
      <patternFill patternType="solid">
        <fgColor rgb="FF66FFFF"/>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bottom/>
      <diagonal/>
    </border>
    <border>
      <left style="thin">
        <color rgb="FF000000"/>
      </left>
      <right/>
      <top style="thin">
        <color indexed="64"/>
      </top>
      <bottom/>
      <diagonal/>
    </border>
    <border>
      <left style="thin">
        <color rgb="FF000000"/>
      </left>
      <right/>
      <top/>
      <bottom/>
      <diagonal/>
    </border>
    <border>
      <left style="thin">
        <color rgb="FF000000"/>
      </left>
      <right/>
      <top style="thin">
        <color rgb="FF000000"/>
      </top>
      <bottom/>
      <diagonal/>
    </border>
    <border>
      <left/>
      <right/>
      <top style="thin">
        <color indexed="64"/>
      </top>
      <bottom/>
      <diagonal/>
    </border>
    <border>
      <left/>
      <right/>
      <top/>
      <bottom style="thin">
        <color rgb="FF000000"/>
      </bottom>
      <diagonal/>
    </border>
  </borders>
  <cellStyleXfs count="4">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330">
    <xf numFmtId="0" fontId="0" fillId="0" borderId="0" xfId="0"/>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0" xfId="0" applyFont="1" applyFill="1" applyBorder="1"/>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65" fontId="3" fillId="0" borderId="1" xfId="1" applyNumberFormat="1" applyFont="1" applyFill="1" applyBorder="1" applyAlignment="1" applyProtection="1">
      <alignment horizontal="center" vertical="center" wrapText="1"/>
    </xf>
    <xf numFmtId="165" fontId="3" fillId="4" borderId="1" xfId="1" applyNumberFormat="1" applyFont="1" applyFill="1" applyBorder="1" applyAlignment="1" applyProtection="1">
      <alignment horizontal="center" vertical="center" wrapText="1"/>
    </xf>
    <xf numFmtId="165" fontId="3" fillId="5" borderId="1" xfId="1" applyNumberFormat="1" applyFont="1" applyFill="1" applyBorder="1" applyAlignment="1" applyProtection="1">
      <alignment horizontal="center" vertical="center"/>
    </xf>
    <xf numFmtId="9" fontId="6" fillId="5" borderId="1" xfId="3" applyNumberFormat="1" applyFont="1" applyFill="1" applyBorder="1" applyAlignment="1" applyProtection="1">
      <alignment horizontal="center" vertical="center"/>
    </xf>
    <xf numFmtId="0" fontId="7" fillId="6"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3" fillId="7" borderId="1" xfId="1" applyNumberFormat="1" applyFont="1" applyFill="1" applyBorder="1" applyAlignment="1" applyProtection="1">
      <alignment horizontal="center" vertical="center" wrapText="1"/>
    </xf>
    <xf numFmtId="0" fontId="2" fillId="0" borderId="2" xfId="0" applyFont="1" applyFill="1" applyBorder="1" applyAlignment="1">
      <alignment horizontal="right" vertical="center" wrapText="1"/>
    </xf>
    <xf numFmtId="166" fontId="2" fillId="4" borderId="1" xfId="0" applyNumberFormat="1" applyFont="1" applyFill="1" applyBorder="1" applyAlignment="1">
      <alignment horizontal="center" vertical="center" wrapText="1"/>
    </xf>
    <xf numFmtId="166" fontId="8" fillId="5"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165" fontId="3" fillId="8" borderId="1" xfId="1" applyNumberFormat="1" applyFont="1" applyFill="1" applyBorder="1" applyAlignment="1" applyProtection="1">
      <alignment horizontal="center" vertical="center" wrapText="1"/>
    </xf>
    <xf numFmtId="165" fontId="3" fillId="6" borderId="1" xfId="1" applyNumberFormat="1" applyFont="1" applyFill="1" applyBorder="1" applyAlignment="1" applyProtection="1">
      <alignment horizontal="center" vertical="center" wrapText="1"/>
    </xf>
    <xf numFmtId="165" fontId="9" fillId="8" borderId="1" xfId="1" applyNumberFormat="1" applyFont="1" applyFill="1" applyBorder="1" applyAlignment="1" applyProtection="1">
      <alignment horizontal="center" vertical="center" wrapText="1"/>
    </xf>
    <xf numFmtId="166" fontId="8" fillId="5" borderId="1" xfId="0" applyNumberFormat="1" applyFont="1" applyFill="1" applyBorder="1" applyAlignment="1">
      <alignment horizontal="center" vertical="center"/>
    </xf>
    <xf numFmtId="167" fontId="6" fillId="5" borderId="2" xfId="3" applyNumberFormat="1" applyFont="1" applyFill="1" applyBorder="1" applyAlignment="1" applyProtection="1">
      <alignment horizontal="center" vertical="center"/>
    </xf>
    <xf numFmtId="0" fontId="7" fillId="6" borderId="1"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4" fillId="3"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4" fillId="0" borderId="1" xfId="3" applyFont="1" applyFill="1" applyBorder="1" applyAlignment="1" applyProtection="1">
      <alignment horizontal="center" vertical="center" wrapText="1"/>
    </xf>
    <xf numFmtId="9" fontId="3" fillId="0" borderId="0" xfId="3" applyFont="1" applyFill="1" applyBorder="1" applyAlignment="1" applyProtection="1"/>
    <xf numFmtId="0" fontId="2" fillId="0" borderId="1" xfId="0" applyFont="1" applyFill="1" applyBorder="1" applyAlignment="1">
      <alignment horizontal="right" vertical="center" wrapText="1"/>
    </xf>
    <xf numFmtId="166" fontId="2" fillId="8" borderId="1" xfId="1" applyNumberFormat="1" applyFont="1" applyFill="1" applyBorder="1" applyAlignment="1" applyProtection="1">
      <alignment horizontal="center" vertical="center" wrapText="1"/>
    </xf>
    <xf numFmtId="166" fontId="2" fillId="4" borderId="1" xfId="1" applyNumberFormat="1" applyFont="1" applyFill="1" applyBorder="1" applyAlignment="1" applyProtection="1">
      <alignment horizontal="center" vertical="center" wrapText="1"/>
    </xf>
    <xf numFmtId="166" fontId="8" fillId="5" borderId="1" xfId="1" applyNumberFormat="1" applyFont="1" applyFill="1" applyBorder="1" applyAlignment="1" applyProtection="1">
      <alignment horizontal="center" vertical="center" wrapText="1"/>
    </xf>
    <xf numFmtId="165" fontId="2" fillId="3" borderId="1" xfId="1" applyNumberFormat="1" applyFont="1" applyFill="1" applyBorder="1" applyAlignment="1">
      <alignment horizontal="center" vertical="center"/>
    </xf>
    <xf numFmtId="0" fontId="2" fillId="2" borderId="2" xfId="0" applyFont="1" applyFill="1" applyBorder="1" applyAlignment="1">
      <alignment horizontal="center" vertical="center"/>
    </xf>
    <xf numFmtId="9" fontId="3" fillId="6" borderId="1" xfId="3" applyFont="1" applyFill="1" applyBorder="1" applyAlignment="1" applyProtection="1">
      <alignment horizontal="center" vertical="center" wrapText="1"/>
    </xf>
    <xf numFmtId="9" fontId="3" fillId="0" borderId="1" xfId="3" applyFont="1" applyFill="1" applyBorder="1" applyAlignment="1" applyProtection="1">
      <alignment horizontal="center" vertical="center" wrapText="1"/>
    </xf>
    <xf numFmtId="9" fontId="8" fillId="5" borderId="1" xfId="3" applyFont="1" applyFill="1" applyBorder="1" applyAlignment="1">
      <alignment horizontal="center" vertical="center"/>
    </xf>
    <xf numFmtId="9" fontId="10" fillId="5" borderId="3" xfId="3" applyFont="1" applyFill="1" applyBorder="1" applyAlignment="1" applyProtection="1">
      <alignment horizontal="center" vertical="center"/>
    </xf>
    <xf numFmtId="0" fontId="7" fillId="6" borderId="9" xfId="0" applyFont="1" applyFill="1" applyBorder="1" applyAlignment="1">
      <alignment wrapText="1"/>
    </xf>
    <xf numFmtId="0" fontId="4" fillId="0" borderId="9" xfId="0" applyFont="1" applyFill="1" applyBorder="1" applyAlignment="1">
      <alignment vertical="center" wrapText="1"/>
    </xf>
    <xf numFmtId="0" fontId="2" fillId="2" borderId="10" xfId="0" applyFont="1" applyFill="1" applyBorder="1" applyAlignment="1">
      <alignment horizontal="center" vertical="center"/>
    </xf>
    <xf numFmtId="0" fontId="2" fillId="9" borderId="1" xfId="0" applyFont="1" applyFill="1" applyBorder="1" applyAlignment="1">
      <alignment horizontal="center" vertical="center"/>
    </xf>
    <xf numFmtId="168" fontId="4" fillId="8" borderId="1" xfId="0" applyNumberFormat="1" applyFont="1" applyFill="1" applyBorder="1" applyAlignment="1">
      <alignment horizontal="center" vertical="center" wrapText="1"/>
    </xf>
    <xf numFmtId="168" fontId="4" fillId="4" borderId="1" xfId="0" applyNumberFormat="1" applyFont="1" applyFill="1" applyBorder="1" applyAlignment="1">
      <alignment horizontal="center" vertical="center" wrapText="1"/>
    </xf>
    <xf numFmtId="169" fontId="4" fillId="8" borderId="1" xfId="0" applyNumberFormat="1" applyFont="1" applyFill="1" applyBorder="1" applyAlignment="1">
      <alignment horizontal="center" vertical="center" wrapText="1"/>
    </xf>
    <xf numFmtId="9" fontId="3" fillId="6" borderId="1" xfId="3" applyFont="1" applyFill="1" applyBorder="1" applyAlignment="1">
      <alignment horizontal="center" vertical="center" wrapText="1"/>
    </xf>
    <xf numFmtId="9" fontId="3" fillId="4" borderId="1" xfId="3" applyFont="1" applyFill="1" applyBorder="1" applyAlignment="1" applyProtection="1">
      <alignment horizontal="center" vertical="center"/>
    </xf>
    <xf numFmtId="170" fontId="8" fillId="5" borderId="1" xfId="3" applyNumberFormat="1" applyFont="1" applyFill="1" applyBorder="1" applyAlignment="1">
      <alignment horizontal="center" vertical="center"/>
    </xf>
    <xf numFmtId="9" fontId="6" fillId="5" borderId="1" xfId="3" applyFont="1" applyFill="1" applyBorder="1" applyAlignment="1" applyProtection="1">
      <alignment horizontal="center" vertical="center"/>
    </xf>
    <xf numFmtId="0" fontId="7" fillId="6" borderId="1" xfId="0" applyFont="1" applyFill="1" applyBorder="1" applyAlignment="1">
      <alignment horizontal="justify" vertical="center" wrapText="1"/>
    </xf>
    <xf numFmtId="0" fontId="7" fillId="0" borderId="1" xfId="0" applyFont="1" applyFill="1" applyBorder="1" applyAlignment="1">
      <alignment horizontal="center" vertical="top" wrapText="1"/>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xf>
    <xf numFmtId="9" fontId="3" fillId="3" borderId="1" xfId="3" applyFont="1" applyFill="1" applyBorder="1" applyAlignment="1">
      <alignment horizontal="center" vertical="center"/>
    </xf>
    <xf numFmtId="0" fontId="4" fillId="10" borderId="1" xfId="0" applyFont="1" applyFill="1" applyBorder="1" applyAlignment="1">
      <alignment horizontal="center" vertical="center" wrapText="1"/>
    </xf>
    <xf numFmtId="9" fontId="3" fillId="4" borderId="1" xfId="3" applyFont="1" applyFill="1" applyBorder="1" applyAlignment="1" applyProtection="1">
      <alignment horizontal="center" vertical="center" wrapText="1"/>
    </xf>
    <xf numFmtId="167" fontId="3" fillId="4" borderId="1" xfId="3" applyNumberFormat="1" applyFont="1" applyFill="1" applyBorder="1" applyAlignment="1" applyProtection="1">
      <alignment horizontal="center" vertical="center" wrapText="1"/>
    </xf>
    <xf numFmtId="167" fontId="9" fillId="0" borderId="1" xfId="3" applyNumberFormat="1" applyFont="1" applyFill="1" applyBorder="1" applyAlignment="1" applyProtection="1">
      <alignment horizontal="center" vertical="center" wrapText="1"/>
    </xf>
    <xf numFmtId="167" fontId="9" fillId="11" borderId="1" xfId="3" applyNumberFormat="1" applyFont="1" applyFill="1" applyBorder="1" applyAlignment="1" applyProtection="1">
      <alignment horizontal="center" vertical="center" wrapText="1"/>
    </xf>
    <xf numFmtId="9" fontId="9" fillId="4" borderId="1" xfId="3" applyNumberFormat="1" applyFont="1" applyFill="1" applyBorder="1" applyAlignment="1" applyProtection="1">
      <alignment horizontal="center" vertical="center" wrapText="1"/>
    </xf>
    <xf numFmtId="9" fontId="9" fillId="0" borderId="1" xfId="3" applyNumberFormat="1" applyFont="1" applyFill="1" applyBorder="1" applyAlignment="1" applyProtection="1">
      <alignment horizontal="center" vertical="center" wrapText="1"/>
    </xf>
    <xf numFmtId="9" fontId="10" fillId="0" borderId="1" xfId="3" applyFont="1" applyFill="1" applyBorder="1" applyAlignment="1" applyProtection="1">
      <alignment horizontal="center" vertical="center"/>
    </xf>
    <xf numFmtId="9" fontId="10" fillId="0" borderId="2" xfId="3" applyNumberFormat="1" applyFont="1" applyFill="1" applyBorder="1" applyAlignment="1" applyProtection="1">
      <alignment horizontal="center" vertical="center"/>
    </xf>
    <xf numFmtId="0" fontId="4" fillId="0" borderId="10" xfId="0" applyFont="1" applyFill="1" applyBorder="1" applyAlignment="1">
      <alignment horizontal="center" vertical="center" wrapText="1"/>
    </xf>
    <xf numFmtId="10" fontId="9" fillId="4" borderId="1" xfId="3" applyNumberFormat="1" applyFont="1" applyFill="1" applyBorder="1" applyAlignment="1" applyProtection="1">
      <alignment horizontal="center" vertical="center" wrapText="1"/>
    </xf>
    <xf numFmtId="10" fontId="3" fillId="4" borderId="1" xfId="3" applyNumberFormat="1" applyFont="1" applyFill="1" applyBorder="1" applyAlignment="1" applyProtection="1">
      <alignment horizontal="center" vertical="center" wrapText="1"/>
    </xf>
    <xf numFmtId="10" fontId="3" fillId="0" borderId="1" xfId="3" applyNumberFormat="1" applyFont="1" applyFill="1" applyBorder="1" applyAlignment="1" applyProtection="1">
      <alignment horizontal="center" vertical="center" wrapText="1"/>
    </xf>
    <xf numFmtId="9" fontId="10" fillId="0" borderId="10" xfId="3" applyNumberFormat="1" applyFont="1" applyFill="1" applyBorder="1" applyAlignment="1" applyProtection="1">
      <alignment horizontal="center" vertical="center"/>
    </xf>
    <xf numFmtId="0" fontId="2"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5" fontId="3" fillId="12" borderId="1" xfId="1" applyNumberFormat="1" applyFont="1" applyFill="1" applyBorder="1" applyAlignment="1" applyProtection="1">
      <alignment horizontal="center" vertical="center" wrapText="1"/>
    </xf>
    <xf numFmtId="165" fontId="4" fillId="4" borderId="1" xfId="1" applyNumberFormat="1" applyFont="1" applyFill="1" applyBorder="1" applyAlignment="1" applyProtection="1">
      <alignment horizontal="center" vertical="center" wrapText="1"/>
    </xf>
    <xf numFmtId="165" fontId="4" fillId="13" borderId="1" xfId="1" applyNumberFormat="1" applyFont="1" applyFill="1" applyBorder="1" applyAlignment="1" applyProtection="1">
      <alignment horizontal="center" vertical="center" wrapText="1"/>
    </xf>
    <xf numFmtId="165" fontId="3" fillId="4" borderId="1" xfId="1" applyNumberFormat="1" applyFont="1" applyFill="1" applyBorder="1" applyAlignment="1" applyProtection="1">
      <alignment vertical="center" wrapText="1"/>
    </xf>
    <xf numFmtId="166" fontId="8" fillId="0" borderId="1" xfId="1" applyNumberFormat="1" applyFont="1" applyFill="1" applyBorder="1" applyAlignment="1" applyProtection="1">
      <alignment horizontal="center" vertical="center" wrapText="1"/>
    </xf>
    <xf numFmtId="9" fontId="6" fillId="0" borderId="1" xfId="3" applyFont="1" applyFill="1" applyBorder="1" applyAlignment="1" applyProtection="1">
      <alignment horizontal="center" vertical="center"/>
    </xf>
    <xf numFmtId="0" fontId="7" fillId="0" borderId="1" xfId="0" applyFont="1" applyFill="1" applyBorder="1" applyAlignment="1">
      <alignment vertical="center" wrapText="1"/>
    </xf>
    <xf numFmtId="165" fontId="4" fillId="12" borderId="1" xfId="1" applyNumberFormat="1" applyFont="1" applyFill="1" applyBorder="1" applyAlignment="1" applyProtection="1">
      <alignment horizontal="center" vertical="center" wrapText="1"/>
    </xf>
    <xf numFmtId="171" fontId="4" fillId="14" borderId="1" xfId="1" applyNumberFormat="1" applyFont="1" applyFill="1" applyBorder="1" applyAlignment="1">
      <alignment horizontal="center" vertical="center" wrapText="1"/>
    </xf>
    <xf numFmtId="164" fontId="4" fillId="13" borderId="1" xfId="1" applyNumberFormat="1" applyFont="1" applyFill="1" applyBorder="1" applyAlignment="1">
      <alignment horizontal="center" vertical="center" wrapText="1"/>
    </xf>
    <xf numFmtId="0" fontId="4" fillId="13" borderId="1" xfId="0" applyFont="1" applyFill="1" applyBorder="1" applyAlignment="1">
      <alignment horizontal="center" vertical="center" wrapText="1"/>
    </xf>
    <xf numFmtId="171" fontId="4" fillId="4" borderId="1" xfId="1" applyNumberFormat="1" applyFont="1" applyFill="1" applyBorder="1" applyAlignment="1" applyProtection="1">
      <alignment vertical="center" wrapText="1"/>
    </xf>
    <xf numFmtId="166" fontId="3" fillId="4" borderId="1" xfId="1" applyNumberFormat="1" applyFont="1" applyFill="1" applyBorder="1" applyAlignment="1" applyProtection="1">
      <alignment horizontal="center" vertical="center" wrapText="1"/>
    </xf>
    <xf numFmtId="171" fontId="8" fillId="7" borderId="1" xfId="1" applyNumberFormat="1" applyFont="1" applyFill="1" applyBorder="1" applyAlignment="1" applyProtection="1">
      <alignment vertical="center" wrapText="1"/>
    </xf>
    <xf numFmtId="9" fontId="6" fillId="0" borderId="1" xfId="3" applyNumberFormat="1" applyFont="1" applyFill="1" applyBorder="1" applyAlignment="1" applyProtection="1">
      <alignment horizontal="center" vertical="center"/>
    </xf>
    <xf numFmtId="0" fontId="2" fillId="15" borderId="1" xfId="0" applyFont="1" applyFill="1" applyBorder="1" applyAlignment="1">
      <alignment horizontal="center" vertical="center"/>
    </xf>
    <xf numFmtId="0" fontId="4" fillId="15" borderId="1" xfId="0" applyFont="1" applyFill="1" applyBorder="1" applyAlignment="1">
      <alignment horizontal="center" vertical="center" wrapText="1"/>
    </xf>
    <xf numFmtId="164" fontId="3" fillId="16" borderId="1" xfId="1" applyNumberFormat="1" applyFont="1" applyFill="1" applyBorder="1" applyAlignment="1" applyProtection="1">
      <alignment horizontal="center" vertical="center" wrapText="1"/>
    </xf>
    <xf numFmtId="164" fontId="3" fillId="17" borderId="1" xfId="1" applyNumberFormat="1" applyFont="1" applyFill="1" applyBorder="1" applyAlignment="1">
      <alignment horizontal="center" vertical="center" wrapText="1"/>
    </xf>
    <xf numFmtId="166" fontId="4" fillId="4" borderId="1" xfId="1" applyNumberFormat="1" applyFont="1" applyFill="1" applyBorder="1" applyAlignment="1" applyProtection="1">
      <alignment horizontal="center" vertical="center"/>
    </xf>
    <xf numFmtId="165" fontId="3" fillId="15" borderId="1" xfId="1" applyNumberFormat="1" applyFont="1" applyFill="1" applyBorder="1" applyAlignment="1">
      <alignment horizontal="center" vertical="center"/>
    </xf>
    <xf numFmtId="0" fontId="2" fillId="15"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166" fontId="4" fillId="0" borderId="1" xfId="1" applyNumberFormat="1" applyFont="1" applyFill="1" applyBorder="1" applyAlignment="1" applyProtection="1">
      <alignment horizontal="center" vertical="center"/>
    </xf>
    <xf numFmtId="164" fontId="3" fillId="0" borderId="1" xfId="1" applyNumberFormat="1" applyFont="1" applyFill="1" applyBorder="1" applyAlignment="1">
      <alignment horizontal="center" vertical="center" wrapText="1"/>
    </xf>
    <xf numFmtId="166" fontId="10" fillId="7" borderId="1" xfId="1" applyNumberFormat="1" applyFont="1" applyFill="1" applyBorder="1" applyAlignment="1" applyProtection="1">
      <alignment horizontal="center" vertical="center"/>
    </xf>
    <xf numFmtId="9" fontId="6" fillId="7" borderId="1" xfId="3" applyFont="1" applyFill="1" applyBorder="1" applyAlignment="1" applyProtection="1">
      <alignment horizontal="center" vertical="center"/>
    </xf>
    <xf numFmtId="0" fontId="7" fillId="7" borderId="1" xfId="0" applyFont="1" applyFill="1" applyBorder="1" applyAlignment="1">
      <alignment horizontal="center" vertical="center" wrapText="1"/>
    </xf>
    <xf numFmtId="0" fontId="4" fillId="15" borderId="1" xfId="0" applyFont="1" applyFill="1" applyBorder="1" applyAlignment="1">
      <alignment horizontal="center" vertical="center"/>
    </xf>
    <xf numFmtId="9" fontId="4" fillId="0" borderId="1" xfId="0" applyNumberFormat="1" applyFont="1" applyFill="1" applyBorder="1" applyAlignment="1">
      <alignment horizontal="center" vertical="center" wrapText="1"/>
    </xf>
    <xf numFmtId="9" fontId="4" fillId="16" borderId="1" xfId="0" applyNumberFormat="1" applyFont="1" applyFill="1" applyBorder="1" applyAlignment="1">
      <alignment horizontal="center" vertical="center" wrapText="1"/>
    </xf>
    <xf numFmtId="9" fontId="4" fillId="7" borderId="1" xfId="0" applyNumberFormat="1" applyFont="1" applyFill="1" applyBorder="1" applyAlignment="1">
      <alignment horizontal="center" vertical="center" wrapText="1"/>
    </xf>
    <xf numFmtId="9" fontId="4" fillId="17" borderId="1" xfId="0" applyNumberFormat="1" applyFont="1" applyFill="1" applyBorder="1" applyAlignment="1">
      <alignment horizontal="center" vertical="center" wrapText="1"/>
    </xf>
    <xf numFmtId="9" fontId="4" fillId="7" borderId="1" xfId="1" applyNumberFormat="1" applyFont="1" applyFill="1" applyBorder="1" applyAlignment="1" applyProtection="1">
      <alignment horizontal="center" vertical="center"/>
    </xf>
    <xf numFmtId="171" fontId="10" fillId="7" borderId="1" xfId="1" applyNumberFormat="1" applyFont="1" applyFill="1" applyBorder="1" applyAlignment="1" applyProtection="1">
      <alignment horizontal="center" vertical="center"/>
    </xf>
    <xf numFmtId="0" fontId="2" fillId="18" borderId="1" xfId="0" applyFont="1" applyFill="1" applyBorder="1" applyAlignment="1">
      <alignment horizontal="center" vertical="center"/>
    </xf>
    <xf numFmtId="0" fontId="2" fillId="18" borderId="1" xfId="0" applyFont="1" applyFill="1" applyBorder="1" applyAlignment="1">
      <alignment horizontal="center" vertical="center"/>
    </xf>
    <xf numFmtId="0" fontId="2" fillId="18"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164" fontId="3" fillId="19" borderId="1" xfId="1" applyNumberFormat="1" applyFont="1" applyFill="1" applyBorder="1" applyAlignment="1" applyProtection="1">
      <alignment horizontal="center" vertical="center" wrapText="1"/>
    </xf>
    <xf numFmtId="165" fontId="4" fillId="20" borderId="1" xfId="1" applyNumberFormat="1" applyFont="1" applyFill="1" applyBorder="1" applyAlignment="1" applyProtection="1">
      <alignment horizontal="center" vertical="center" wrapText="1"/>
    </xf>
    <xf numFmtId="164" fontId="3" fillId="21" borderId="1" xfId="1" applyNumberFormat="1" applyFont="1" applyFill="1" applyBorder="1" applyAlignment="1" applyProtection="1">
      <alignment horizontal="center" vertical="center" wrapText="1"/>
    </xf>
    <xf numFmtId="0" fontId="4" fillId="7" borderId="1" xfId="0" applyFont="1" applyFill="1" applyBorder="1" applyAlignment="1">
      <alignment horizontal="center" vertical="center" wrapText="1"/>
    </xf>
    <xf numFmtId="166" fontId="4" fillId="7" borderId="1" xfId="1" applyNumberFormat="1" applyFont="1" applyFill="1" applyBorder="1" applyAlignment="1" applyProtection="1">
      <alignment horizontal="center" vertical="center"/>
    </xf>
    <xf numFmtId="166" fontId="10" fillId="5" borderId="1" xfId="1" applyNumberFormat="1" applyFont="1" applyFill="1" applyBorder="1" applyAlignment="1" applyProtection="1">
      <alignment horizontal="center" vertical="center"/>
    </xf>
    <xf numFmtId="9" fontId="2" fillId="18" borderId="10" xfId="3" applyFont="1" applyFill="1" applyBorder="1" applyAlignment="1" applyProtection="1">
      <alignment vertical="center"/>
    </xf>
    <xf numFmtId="9" fontId="2" fillId="18" borderId="10" xfId="3" applyFont="1" applyFill="1" applyBorder="1" applyAlignment="1" applyProtection="1">
      <alignment horizontal="center" vertical="center"/>
    </xf>
    <xf numFmtId="0" fontId="2" fillId="18" borderId="1" xfId="0" applyFont="1" applyFill="1" applyBorder="1" applyAlignment="1">
      <alignment vertical="center"/>
    </xf>
    <xf numFmtId="0" fontId="4" fillId="7" borderId="1" xfId="0" applyFont="1" applyFill="1" applyBorder="1" applyAlignment="1">
      <alignment horizontal="right" vertical="center" wrapText="1"/>
    </xf>
    <xf numFmtId="9" fontId="2" fillId="18" borderId="1" xfId="3" applyFont="1" applyFill="1" applyBorder="1" applyAlignment="1" applyProtection="1">
      <alignment vertical="center"/>
    </xf>
    <xf numFmtId="9" fontId="2" fillId="18" borderId="1" xfId="3" applyFont="1" applyFill="1" applyBorder="1" applyAlignment="1" applyProtection="1">
      <alignment horizontal="center" vertical="center"/>
    </xf>
    <xf numFmtId="164" fontId="3" fillId="0" borderId="1" xfId="1" applyNumberFormat="1" applyFont="1" applyFill="1" applyBorder="1" applyAlignment="1" applyProtection="1">
      <alignment horizontal="center" vertical="center" wrapText="1"/>
    </xf>
    <xf numFmtId="0" fontId="2" fillId="22" borderId="1" xfId="0" applyFont="1" applyFill="1" applyBorder="1" applyAlignment="1">
      <alignment horizontal="center" vertical="center"/>
    </xf>
    <xf numFmtId="0" fontId="2" fillId="22" borderId="1" xfId="0" applyFont="1" applyFill="1" applyBorder="1" applyAlignment="1">
      <alignment horizontal="center" vertical="center"/>
    </xf>
    <xf numFmtId="168" fontId="2" fillId="22" borderId="1" xfId="0" applyNumberFormat="1" applyFont="1" applyFill="1" applyBorder="1" applyAlignment="1">
      <alignment horizontal="center" vertical="center"/>
    </xf>
    <xf numFmtId="0" fontId="2" fillId="22" borderId="1"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164" fontId="3" fillId="22" borderId="1" xfId="1" applyNumberFormat="1" applyFont="1" applyFill="1" applyBorder="1" applyAlignment="1" applyProtection="1">
      <alignment horizontal="center" vertical="center" wrapText="1"/>
    </xf>
    <xf numFmtId="166" fontId="7" fillId="4" borderId="1" xfId="1" applyNumberFormat="1" applyFont="1" applyFill="1" applyBorder="1" applyAlignment="1" applyProtection="1">
      <alignment horizontal="center" vertical="center"/>
    </xf>
    <xf numFmtId="166" fontId="10" fillId="4" borderId="1" xfId="1" applyNumberFormat="1" applyFont="1" applyFill="1" applyBorder="1" applyAlignment="1" applyProtection="1">
      <alignment horizontal="center" vertical="center"/>
    </xf>
    <xf numFmtId="9" fontId="8" fillId="7" borderId="2" xfId="3" applyFont="1" applyFill="1" applyBorder="1" applyAlignment="1" applyProtection="1">
      <alignment horizontal="center" vertical="center"/>
    </xf>
    <xf numFmtId="0" fontId="7" fillId="7" borderId="2"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4"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7" fillId="23" borderId="1" xfId="0" applyFont="1" applyFill="1" applyBorder="1" applyAlignment="1">
      <alignment horizontal="center" vertical="center" wrapText="1"/>
    </xf>
    <xf numFmtId="0" fontId="9" fillId="0" borderId="1" xfId="0" applyFont="1" applyFill="1" applyBorder="1" applyAlignment="1">
      <alignment horizontal="right" vertical="center" wrapText="1"/>
    </xf>
    <xf numFmtId="9" fontId="8" fillId="7" borderId="11" xfId="3" applyFont="1" applyFill="1" applyBorder="1" applyAlignment="1" applyProtection="1">
      <alignment horizontal="center" vertical="center"/>
    </xf>
    <xf numFmtId="0" fontId="7" fillId="7" borderId="11" xfId="0" applyFont="1" applyFill="1" applyBorder="1" applyAlignment="1">
      <alignment horizontal="center" vertical="center" wrapText="1"/>
    </xf>
    <xf numFmtId="0" fontId="7" fillId="4" borderId="11" xfId="0" applyFont="1" applyFill="1" applyBorder="1" applyAlignment="1">
      <alignment horizontal="center" vertical="top" wrapText="1"/>
    </xf>
    <xf numFmtId="0" fontId="4" fillId="4" borderId="10" xfId="0" applyFont="1" applyFill="1" applyBorder="1" applyAlignment="1">
      <alignment horizontal="center" vertical="center" wrapText="1"/>
    </xf>
    <xf numFmtId="165" fontId="9" fillId="0" borderId="1" xfId="0" applyNumberFormat="1" applyFont="1" applyFill="1" applyBorder="1" applyAlignment="1">
      <alignment horizontal="right" vertical="center" wrapText="1"/>
    </xf>
    <xf numFmtId="9" fontId="8" fillId="7" borderId="10" xfId="3" applyFont="1" applyFill="1" applyBorder="1" applyAlignment="1" applyProtection="1">
      <alignment horizontal="center" vertical="center"/>
    </xf>
    <xf numFmtId="0" fontId="7" fillId="7" borderId="10" xfId="0" applyFont="1" applyFill="1" applyBorder="1" applyAlignment="1">
      <alignment horizontal="center" vertical="center" wrapText="1"/>
    </xf>
    <xf numFmtId="0" fontId="7" fillId="4" borderId="10" xfId="0" applyFont="1" applyFill="1" applyBorder="1" applyAlignment="1">
      <alignment horizontal="center" vertical="top" wrapText="1"/>
    </xf>
    <xf numFmtId="165" fontId="8" fillId="22" borderId="1" xfId="1" applyNumberFormat="1" applyFont="1" applyFill="1" applyBorder="1" applyAlignment="1">
      <alignment horizontal="center" vertical="center"/>
    </xf>
    <xf numFmtId="0" fontId="7" fillId="7" borderId="1" xfId="0" applyFont="1" applyFill="1" applyBorder="1" applyAlignment="1">
      <alignment horizontal="center" vertical="center" wrapText="1"/>
    </xf>
    <xf numFmtId="165" fontId="4" fillId="0" borderId="1" xfId="1" applyNumberFormat="1" applyFont="1" applyFill="1" applyBorder="1" applyAlignment="1" applyProtection="1">
      <alignment horizontal="center" vertical="center" wrapText="1"/>
    </xf>
    <xf numFmtId="166" fontId="2" fillId="7" borderId="1" xfId="1" applyNumberFormat="1" applyFont="1" applyFill="1" applyBorder="1" applyAlignment="1" applyProtection="1">
      <alignment horizontal="center" vertical="center" wrapText="1"/>
    </xf>
    <xf numFmtId="9" fontId="6" fillId="7" borderId="1" xfId="3" applyFont="1" applyFill="1" applyBorder="1" applyAlignment="1" applyProtection="1">
      <alignment horizontal="center" vertical="center" wrapText="1"/>
    </xf>
    <xf numFmtId="0" fontId="7" fillId="24"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165" fontId="4" fillId="7" borderId="1" xfId="1" applyNumberFormat="1" applyFont="1" applyFill="1" applyBorder="1" applyAlignment="1" applyProtection="1">
      <alignment horizontal="center" vertical="center" wrapText="1"/>
    </xf>
    <xf numFmtId="166" fontId="2" fillId="0" borderId="1" xfId="1" applyNumberFormat="1" applyFont="1" applyFill="1" applyBorder="1" applyAlignment="1" applyProtection="1">
      <alignment horizontal="center" vertical="center" wrapText="1"/>
    </xf>
    <xf numFmtId="165" fontId="3" fillId="22" borderId="1" xfId="1" applyNumberFormat="1" applyFont="1" applyFill="1" applyBorder="1" applyAlignment="1">
      <alignment horizontal="center" vertical="center"/>
    </xf>
    <xf numFmtId="164" fontId="3" fillId="4" borderId="1" xfId="1" applyNumberFormat="1" applyFont="1" applyFill="1" applyBorder="1" applyAlignment="1" applyProtection="1">
      <alignment horizontal="center" vertical="center" wrapText="1"/>
    </xf>
    <xf numFmtId="166" fontId="10" fillId="7" borderId="1" xfId="1" applyNumberFormat="1" applyFont="1" applyFill="1" applyBorder="1" applyAlignment="1" applyProtection="1">
      <alignment horizontal="center" vertical="center" wrapText="1"/>
    </xf>
    <xf numFmtId="9" fontId="3" fillId="22" borderId="1" xfId="3" applyFont="1" applyFill="1" applyBorder="1" applyAlignment="1">
      <alignment horizontal="center" vertical="center"/>
    </xf>
    <xf numFmtId="167" fontId="3" fillId="0" borderId="1" xfId="3" applyNumberFormat="1" applyFont="1" applyFill="1" applyBorder="1" applyAlignment="1" applyProtection="1">
      <alignment horizontal="center" vertical="center" wrapText="1"/>
    </xf>
    <xf numFmtId="9" fontId="3" fillId="0" borderId="1" xfId="3" applyNumberFormat="1" applyFont="1" applyFill="1" applyBorder="1" applyAlignment="1" applyProtection="1">
      <alignment horizontal="center" vertical="center"/>
    </xf>
    <xf numFmtId="9" fontId="3" fillId="4" borderId="1" xfId="3" applyNumberFormat="1" applyFont="1" applyFill="1" applyBorder="1" applyAlignment="1" applyProtection="1">
      <alignment horizontal="center" vertical="center"/>
    </xf>
    <xf numFmtId="167" fontId="8" fillId="7" borderId="1" xfId="1" applyNumberFormat="1" applyFont="1" applyFill="1" applyBorder="1" applyAlignment="1" applyProtection="1">
      <alignment horizontal="center" vertical="center"/>
    </xf>
    <xf numFmtId="172" fontId="3" fillId="7" borderId="1" xfId="2" applyNumberFormat="1" applyFont="1" applyFill="1" applyBorder="1" applyAlignment="1" applyProtection="1">
      <alignment horizontal="center" vertical="center"/>
    </xf>
    <xf numFmtId="0" fontId="7" fillId="24" borderId="1" xfId="0" applyFont="1" applyFill="1" applyBorder="1" applyAlignment="1">
      <alignment horizontal="left" vertical="center" wrapText="1"/>
    </xf>
    <xf numFmtId="0" fontId="7" fillId="4" borderId="1" xfId="0" applyFont="1" applyFill="1" applyBorder="1" applyAlignment="1">
      <alignment horizontal="center" vertical="top" wrapText="1"/>
    </xf>
    <xf numFmtId="0" fontId="7" fillId="0" borderId="2" xfId="0" applyFont="1" applyFill="1" applyBorder="1" applyAlignment="1">
      <alignment horizontal="center" vertical="center" wrapText="1"/>
    </xf>
    <xf numFmtId="164" fontId="3" fillId="23" borderId="1" xfId="1" applyNumberFormat="1" applyFont="1" applyFill="1" applyBorder="1" applyAlignment="1" applyProtection="1">
      <alignment horizontal="center" vertical="center" wrapText="1"/>
    </xf>
    <xf numFmtId="165" fontId="10" fillId="4" borderId="1" xfId="1" applyNumberFormat="1" applyFont="1" applyFill="1" applyBorder="1" applyAlignment="1" applyProtection="1">
      <alignment horizontal="center" vertical="center"/>
    </xf>
    <xf numFmtId="0" fontId="7" fillId="4" borderId="1" xfId="0" applyFont="1" applyFill="1" applyBorder="1" applyAlignment="1">
      <alignment horizontal="center" vertical="center" wrapText="1"/>
    </xf>
    <xf numFmtId="0" fontId="2" fillId="25" borderId="1" xfId="0" applyFont="1" applyFill="1" applyBorder="1" applyAlignment="1">
      <alignment horizontal="center" vertical="center"/>
    </xf>
    <xf numFmtId="0" fontId="2" fillId="2" borderId="11" xfId="0" applyFont="1" applyFill="1" applyBorder="1" applyAlignment="1">
      <alignment horizontal="center" vertical="center"/>
    </xf>
    <xf numFmtId="0" fontId="4" fillId="25" borderId="1" xfId="0" applyFont="1" applyFill="1" applyBorder="1" applyAlignment="1">
      <alignment horizontal="center" vertical="center"/>
    </xf>
    <xf numFmtId="165" fontId="3" fillId="25" borderId="1" xfId="1" applyNumberFormat="1" applyFont="1" applyFill="1" applyBorder="1" applyAlignment="1">
      <alignment horizontal="center" vertical="center"/>
    </xf>
    <xf numFmtId="0" fontId="2" fillId="25" borderId="1" xfId="0" applyFont="1" applyFill="1" applyBorder="1" applyAlignment="1">
      <alignment horizontal="center" vertical="center" wrapText="1"/>
    </xf>
    <xf numFmtId="0" fontId="4" fillId="25" borderId="1" xfId="0" applyFont="1" applyFill="1" applyBorder="1" applyAlignment="1">
      <alignment horizontal="center" vertical="center" wrapText="1"/>
    </xf>
    <xf numFmtId="166" fontId="2" fillId="5" borderId="1" xfId="1" applyNumberFormat="1" applyFont="1" applyFill="1" applyBorder="1" applyAlignment="1" applyProtection="1">
      <alignment horizontal="center" vertical="center"/>
    </xf>
    <xf numFmtId="9" fontId="6" fillId="5" borderId="1" xfId="3" applyFont="1" applyFill="1" applyBorder="1" applyAlignment="1" applyProtection="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166" fontId="2" fillId="4" borderId="1" xfId="1" applyNumberFormat="1" applyFont="1" applyFill="1" applyBorder="1" applyAlignment="1" applyProtection="1">
      <alignment vertical="center"/>
    </xf>
    <xf numFmtId="166" fontId="8" fillId="5" borderId="1" xfId="1" applyNumberFormat="1" applyFont="1" applyFill="1" applyBorder="1" applyAlignment="1" applyProtection="1">
      <alignment horizontal="center" vertical="center"/>
    </xf>
    <xf numFmtId="165" fontId="2" fillId="5" borderId="1" xfId="1" applyNumberFormat="1" applyFont="1" applyFill="1" applyBorder="1" applyAlignment="1" applyProtection="1">
      <alignment horizontal="center" vertical="center"/>
    </xf>
    <xf numFmtId="165" fontId="4" fillId="0" borderId="11" xfId="1" applyNumberFormat="1" applyFont="1" applyFill="1" applyBorder="1" applyAlignment="1" applyProtection="1">
      <alignment horizontal="center" vertical="center" wrapText="1"/>
    </xf>
    <xf numFmtId="0" fontId="2" fillId="25" borderId="1"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1" xfId="0" applyFont="1" applyFill="1" applyBorder="1" applyAlignment="1">
      <alignment horizontal="center" vertical="center" wrapText="1"/>
    </xf>
    <xf numFmtId="0" fontId="4" fillId="26" borderId="1" xfId="0" applyFont="1" applyFill="1" applyBorder="1" applyAlignment="1">
      <alignment horizontal="center" vertical="center" wrapText="1"/>
    </xf>
    <xf numFmtId="165" fontId="3" fillId="27" borderId="1" xfId="1" applyNumberFormat="1" applyFont="1" applyFill="1" applyBorder="1" applyAlignment="1" applyProtection="1">
      <alignment horizontal="center" vertical="center" wrapText="1"/>
    </xf>
    <xf numFmtId="9" fontId="6" fillId="5" borderId="2" xfId="3" applyFont="1" applyFill="1" applyBorder="1" applyAlignment="1" applyProtection="1">
      <alignment horizontal="center" vertical="center"/>
    </xf>
    <xf numFmtId="165" fontId="2" fillId="26" borderId="1" xfId="1" applyNumberFormat="1" applyFont="1" applyFill="1" applyBorder="1" applyAlignment="1">
      <alignment horizontal="center" vertical="center"/>
    </xf>
    <xf numFmtId="165" fontId="2" fillId="26" borderId="1" xfId="0" applyNumberFormat="1" applyFont="1" applyFill="1" applyBorder="1" applyAlignment="1">
      <alignment horizontal="center" vertical="center"/>
    </xf>
    <xf numFmtId="165" fontId="8" fillId="26" borderId="1" xfId="1" applyNumberFormat="1" applyFont="1" applyFill="1" applyBorder="1" applyAlignment="1">
      <alignment horizontal="center" vertical="center"/>
    </xf>
    <xf numFmtId="165" fontId="2" fillId="26" borderId="2" xfId="0" applyNumberFormat="1" applyFont="1" applyFill="1" applyBorder="1" applyAlignment="1">
      <alignment horizontal="center" vertical="center"/>
    </xf>
    <xf numFmtId="165" fontId="8" fillId="26" borderId="2" xfId="1" applyNumberFormat="1" applyFont="1" applyFill="1" applyBorder="1" applyAlignment="1">
      <alignment horizontal="center" vertical="center"/>
    </xf>
    <xf numFmtId="165" fontId="7" fillId="4" borderId="1" xfId="1" applyNumberFormat="1" applyFont="1" applyFill="1" applyBorder="1" applyAlignment="1" applyProtection="1">
      <alignment horizontal="center" vertical="center" wrapText="1"/>
    </xf>
    <xf numFmtId="165" fontId="7" fillId="0" borderId="1" xfId="1" applyNumberFormat="1" applyFont="1" applyFill="1" applyBorder="1" applyAlignment="1" applyProtection="1">
      <alignment horizontal="center" vertical="center" wrapText="1"/>
    </xf>
    <xf numFmtId="166" fontId="2" fillId="5" borderId="9" xfId="0" applyNumberFormat="1" applyFont="1" applyFill="1" applyBorder="1" applyAlignment="1">
      <alignment horizontal="center" vertical="center"/>
    </xf>
    <xf numFmtId="9" fontId="6" fillId="5" borderId="9" xfId="3" applyFont="1" applyFill="1" applyBorder="1" applyAlignment="1" applyProtection="1">
      <alignment horizontal="center" vertical="center"/>
    </xf>
    <xf numFmtId="0" fontId="7" fillId="7" borderId="12" xfId="0" applyFont="1" applyFill="1" applyBorder="1" applyAlignment="1">
      <alignment horizontal="center" vertical="center" wrapText="1"/>
    </xf>
    <xf numFmtId="0" fontId="4" fillId="4" borderId="1" xfId="0" applyFont="1" applyFill="1" applyBorder="1" applyAlignment="1">
      <alignment horizontal="center" vertical="center"/>
    </xf>
    <xf numFmtId="0" fontId="7" fillId="7" borderId="13" xfId="0" applyFont="1" applyFill="1" applyBorder="1" applyAlignment="1">
      <alignment horizontal="center" vertical="center" wrapText="1"/>
    </xf>
    <xf numFmtId="0" fontId="4" fillId="26" borderId="2" xfId="0" applyFont="1" applyFill="1" applyBorder="1" applyAlignment="1">
      <alignment horizontal="center" vertical="center" wrapText="1"/>
    </xf>
    <xf numFmtId="0" fontId="4" fillId="26" borderId="9" xfId="0" applyFont="1" applyFill="1" applyBorder="1" applyAlignment="1">
      <alignment horizontal="center" vertical="center" wrapText="1"/>
    </xf>
    <xf numFmtId="0" fontId="4" fillId="26" borderId="10" xfId="0" applyFont="1" applyFill="1" applyBorder="1" applyAlignment="1">
      <alignment horizontal="center" vertical="center" wrapText="1"/>
    </xf>
    <xf numFmtId="166" fontId="8" fillId="4" borderId="1" xfId="0" applyNumberFormat="1" applyFont="1" applyFill="1" applyBorder="1" applyAlignment="1">
      <alignment horizontal="center" vertical="center"/>
    </xf>
    <xf numFmtId="166" fontId="8" fillId="0" borderId="1" xfId="0" applyNumberFormat="1" applyFont="1" applyFill="1" applyBorder="1" applyAlignment="1">
      <alignment horizontal="center" vertical="center"/>
    </xf>
    <xf numFmtId="166" fontId="8" fillId="4" borderId="3" xfId="0" applyNumberFormat="1" applyFont="1" applyFill="1" applyBorder="1" applyAlignment="1">
      <alignment horizontal="center" vertical="center"/>
    </xf>
    <xf numFmtId="166" fontId="8" fillId="4" borderId="9" xfId="0" applyNumberFormat="1" applyFont="1" applyFill="1" applyBorder="1" applyAlignment="1">
      <alignment horizontal="center" vertical="center"/>
    </xf>
    <xf numFmtId="166" fontId="8" fillId="5" borderId="9" xfId="0" applyNumberFormat="1" applyFont="1" applyFill="1" applyBorder="1" applyAlignment="1">
      <alignment horizontal="center" vertical="center"/>
    </xf>
    <xf numFmtId="0" fontId="7" fillId="7" borderId="14" xfId="0" applyFont="1" applyFill="1" applyBorder="1" applyAlignment="1">
      <alignment horizontal="center" vertical="center" wrapText="1"/>
    </xf>
    <xf numFmtId="0" fontId="8" fillId="0" borderId="0" xfId="0" applyFont="1" applyFill="1" applyBorder="1"/>
    <xf numFmtId="0" fontId="2" fillId="26" borderId="10" xfId="0" applyFont="1" applyFill="1" applyBorder="1" applyAlignment="1">
      <alignment horizontal="center" vertical="center"/>
    </xf>
    <xf numFmtId="165" fontId="3" fillId="26" borderId="1" xfId="1" applyNumberFormat="1" applyFont="1" applyFill="1" applyBorder="1" applyAlignment="1">
      <alignment horizontal="center" vertical="center"/>
    </xf>
    <xf numFmtId="166" fontId="4" fillId="4" borderId="1" xfId="1" applyNumberFormat="1" applyFont="1" applyFill="1" applyBorder="1" applyAlignment="1" applyProtection="1">
      <alignment horizontal="center" vertical="center" wrapText="1"/>
    </xf>
    <xf numFmtId="166" fontId="4" fillId="0" borderId="1" xfId="1" applyNumberFormat="1" applyFont="1" applyFill="1" applyBorder="1" applyAlignment="1" applyProtection="1">
      <alignment horizontal="center" vertical="center" wrapText="1"/>
    </xf>
    <xf numFmtId="166" fontId="2" fillId="28" borderId="1" xfId="1" applyNumberFormat="1" applyFont="1" applyFill="1" applyBorder="1" applyAlignment="1" applyProtection="1">
      <alignment horizontal="center" vertical="center" wrapText="1"/>
    </xf>
    <xf numFmtId="0" fontId="7" fillId="7" borderId="1" xfId="0" applyFont="1" applyFill="1" applyBorder="1" applyAlignment="1">
      <alignment horizontal="center" vertical="top" wrapText="1"/>
    </xf>
    <xf numFmtId="0" fontId="7" fillId="4" borderId="2"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2" fillId="4" borderId="0" xfId="0" applyFont="1" applyFill="1" applyBorder="1" applyAlignment="1">
      <alignment horizontal="center" vertical="center" wrapText="1"/>
    </xf>
    <xf numFmtId="165" fontId="8" fillId="28" borderId="1" xfId="1" applyNumberFormat="1" applyFont="1" applyFill="1" applyBorder="1" applyAlignment="1" applyProtection="1">
      <alignment horizontal="center" vertical="center" wrapText="1"/>
    </xf>
    <xf numFmtId="0" fontId="2" fillId="26" borderId="15" xfId="0" applyFont="1" applyFill="1" applyBorder="1" applyAlignment="1">
      <alignment horizontal="center" vertical="center"/>
    </xf>
    <xf numFmtId="165" fontId="3" fillId="26" borderId="9" xfId="1" applyNumberFormat="1" applyFont="1" applyFill="1" applyBorder="1" applyAlignment="1">
      <alignment horizontal="center" vertical="center"/>
    </xf>
    <xf numFmtId="0" fontId="2" fillId="26" borderId="16" xfId="0" applyFont="1" applyFill="1" applyBorder="1" applyAlignment="1">
      <alignment horizontal="center" vertical="center" wrapText="1"/>
    </xf>
    <xf numFmtId="165" fontId="3" fillId="29" borderId="1" xfId="1" applyNumberFormat="1" applyFont="1" applyFill="1" applyBorder="1" applyAlignment="1" applyProtection="1">
      <alignment horizontal="center" vertical="center" wrapText="1"/>
    </xf>
    <xf numFmtId="0" fontId="4" fillId="27" borderId="1" xfId="0" applyFont="1" applyFill="1" applyBorder="1" applyAlignment="1">
      <alignment horizontal="center" vertical="center" wrapText="1"/>
    </xf>
    <xf numFmtId="166" fontId="4" fillId="29" borderId="1" xfId="1" applyNumberFormat="1" applyFont="1" applyFill="1" applyBorder="1" applyAlignment="1" applyProtection="1">
      <alignment horizontal="center" vertical="center" wrapText="1"/>
    </xf>
    <xf numFmtId="166" fontId="8" fillId="27" borderId="1" xfId="1" applyNumberFormat="1" applyFont="1" applyFill="1" applyBorder="1" applyAlignment="1" applyProtection="1">
      <alignment horizontal="center" vertical="center" wrapText="1"/>
    </xf>
    <xf numFmtId="0" fontId="2" fillId="26" borderId="9" xfId="0" applyFont="1" applyFill="1" applyBorder="1" applyAlignment="1">
      <alignment horizontal="center" vertical="center" wrapText="1"/>
    </xf>
    <xf numFmtId="0" fontId="2" fillId="2" borderId="5" xfId="0" applyFont="1" applyFill="1" applyBorder="1" applyAlignment="1">
      <alignment horizontal="center" vertical="center"/>
    </xf>
    <xf numFmtId="165" fontId="3" fillId="27" borderId="10" xfId="1" applyNumberFormat="1" applyFont="1" applyFill="1" applyBorder="1" applyAlignment="1" applyProtection="1">
      <alignment horizontal="center" vertical="center" wrapText="1"/>
    </xf>
    <xf numFmtId="165" fontId="3" fillId="29" borderId="10" xfId="1" applyNumberFormat="1" applyFont="1" applyFill="1" applyBorder="1" applyAlignment="1" applyProtection="1">
      <alignment horizontal="center" vertical="center" wrapText="1"/>
    </xf>
    <xf numFmtId="0" fontId="4" fillId="27" borderId="10" xfId="0" applyFont="1" applyFill="1" applyBorder="1" applyAlignment="1">
      <alignment horizontal="center" vertical="center" wrapText="1"/>
    </xf>
    <xf numFmtId="166" fontId="4" fillId="29" borderId="10" xfId="1" applyNumberFormat="1" applyFont="1" applyFill="1" applyBorder="1" applyAlignment="1" applyProtection="1">
      <alignment horizontal="center" vertical="center" wrapText="1"/>
    </xf>
    <xf numFmtId="166" fontId="8" fillId="27" borderId="10" xfId="1" applyNumberFormat="1" applyFont="1" applyFill="1" applyBorder="1" applyAlignment="1" applyProtection="1">
      <alignment horizontal="center" vertical="center" wrapText="1"/>
    </xf>
    <xf numFmtId="0" fontId="2" fillId="26" borderId="17" xfId="0" applyFont="1" applyFill="1" applyBorder="1" applyAlignment="1">
      <alignment horizontal="center" vertical="center" wrapText="1"/>
    </xf>
    <xf numFmtId="0" fontId="2" fillId="26" borderId="18" xfId="0" applyFont="1" applyFill="1" applyBorder="1" applyAlignment="1">
      <alignment horizontal="center" vertical="center" wrapText="1"/>
    </xf>
    <xf numFmtId="0" fontId="2" fillId="2" borderId="10" xfId="0" applyFont="1" applyFill="1" applyBorder="1" applyAlignment="1">
      <alignment horizontal="center" vertical="center"/>
    </xf>
    <xf numFmtId="0" fontId="4" fillId="0" borderId="5" xfId="0" applyFont="1" applyFill="1" applyBorder="1" applyAlignment="1">
      <alignment horizontal="center" vertical="center" wrapText="1"/>
    </xf>
    <xf numFmtId="165" fontId="3" fillId="0" borderId="2" xfId="1" applyNumberFormat="1" applyFont="1" applyFill="1" applyBorder="1" applyAlignment="1" applyProtection="1">
      <alignment horizontal="center" vertical="center" wrapText="1"/>
    </xf>
    <xf numFmtId="165" fontId="4" fillId="0" borderId="2" xfId="1" applyNumberFormat="1" applyFont="1" applyFill="1" applyBorder="1" applyAlignment="1">
      <alignment horizontal="center" vertical="center" wrapText="1"/>
    </xf>
    <xf numFmtId="0" fontId="7" fillId="7"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27" borderId="9" xfId="0" applyFont="1" applyFill="1" applyBorder="1"/>
    <xf numFmtId="0" fontId="3" fillId="7" borderId="9" xfId="0" applyFont="1" applyFill="1" applyBorder="1"/>
    <xf numFmtId="165" fontId="4" fillId="27" borderId="5" xfId="1" applyNumberFormat="1" applyFont="1" applyFill="1" applyBorder="1" applyAlignment="1">
      <alignment horizontal="center" vertical="center" wrapText="1"/>
    </xf>
    <xf numFmtId="165" fontId="4" fillId="27" borderId="1" xfId="1" applyNumberFormat="1" applyFont="1" applyFill="1" applyBorder="1" applyAlignment="1">
      <alignment horizontal="center" vertical="center" wrapText="1"/>
    </xf>
    <xf numFmtId="165" fontId="3" fillId="7" borderId="1" xfId="1" applyNumberFormat="1" applyFont="1" applyFill="1" applyBorder="1" applyAlignment="1">
      <alignment horizontal="center" vertical="center" wrapText="1"/>
    </xf>
    <xf numFmtId="0" fontId="2" fillId="30" borderId="1" xfId="0" applyFont="1" applyFill="1" applyBorder="1" applyAlignment="1">
      <alignment horizontal="center" vertical="center"/>
    </xf>
    <xf numFmtId="0" fontId="2" fillId="26" borderId="11" xfId="0" applyFont="1" applyFill="1" applyBorder="1" applyAlignment="1">
      <alignment horizontal="center" vertical="center"/>
    </xf>
    <xf numFmtId="0" fontId="2" fillId="30" borderId="2" xfId="0" applyFont="1" applyFill="1" applyBorder="1" applyAlignment="1">
      <alignment horizontal="center" vertical="center"/>
    </xf>
    <xf numFmtId="0" fontId="4" fillId="4" borderId="2" xfId="0" applyFont="1" applyFill="1" applyBorder="1" applyAlignment="1">
      <alignment horizontal="center" vertical="center" wrapText="1"/>
    </xf>
    <xf numFmtId="164" fontId="3" fillId="27" borderId="1" xfId="1" applyNumberFormat="1" applyFont="1" applyFill="1" applyBorder="1" applyAlignment="1" applyProtection="1">
      <alignment horizontal="center" vertical="center" wrapText="1"/>
    </xf>
    <xf numFmtId="165" fontId="9" fillId="29" borderId="1" xfId="1" applyNumberFormat="1" applyFont="1" applyFill="1" applyBorder="1" applyAlignment="1" applyProtection="1">
      <alignment horizontal="center" vertical="center" wrapText="1"/>
    </xf>
    <xf numFmtId="165" fontId="9" fillId="4" borderId="1" xfId="1" applyNumberFormat="1" applyFont="1" applyFill="1" applyBorder="1" applyAlignment="1" applyProtection="1">
      <alignment horizontal="center" vertical="center" wrapText="1"/>
    </xf>
    <xf numFmtId="166" fontId="7" fillId="4" borderId="1" xfId="1" applyNumberFormat="1" applyFont="1" applyFill="1" applyBorder="1" applyAlignment="1" applyProtection="1">
      <alignment horizontal="center" vertical="center" wrapText="1"/>
    </xf>
    <xf numFmtId="166" fontId="10" fillId="5" borderId="1" xfId="1" applyNumberFormat="1" applyFont="1" applyFill="1" applyBorder="1" applyAlignment="1" applyProtection="1">
      <alignment horizontal="center" vertical="center" wrapText="1"/>
    </xf>
    <xf numFmtId="9" fontId="10" fillId="5" borderId="19" xfId="3" applyFont="1" applyFill="1" applyBorder="1" applyAlignment="1" applyProtection="1">
      <alignment horizontal="center" vertical="center" wrapText="1"/>
    </xf>
    <xf numFmtId="0" fontId="7" fillId="7" borderId="9" xfId="0" applyFont="1" applyFill="1" applyBorder="1" applyAlignment="1">
      <alignment vertical="center" wrapText="1"/>
    </xf>
    <xf numFmtId="0" fontId="7" fillId="7" borderId="9" xfId="0" applyFont="1" applyFill="1" applyBorder="1" applyAlignment="1">
      <alignment horizontal="center" vertical="center" wrapText="1"/>
    </xf>
    <xf numFmtId="0" fontId="2" fillId="26"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4" fillId="7" borderId="1" xfId="0" applyFont="1" applyFill="1" applyBorder="1" applyAlignment="1">
      <alignment horizontal="center" vertical="center" wrapText="1"/>
    </xf>
    <xf numFmtId="165" fontId="8" fillId="5" borderId="1" xfId="1" applyNumberFormat="1" applyFont="1" applyFill="1" applyBorder="1" applyAlignment="1" applyProtection="1">
      <alignment horizontal="center" vertical="center" wrapText="1"/>
    </xf>
    <xf numFmtId="9" fontId="10" fillId="5" borderId="1" xfId="3" applyFont="1" applyFill="1" applyBorder="1" applyAlignment="1" applyProtection="1">
      <alignment horizontal="center" vertical="center" wrapText="1"/>
    </xf>
    <xf numFmtId="166" fontId="8" fillId="28" borderId="1" xfId="1" applyNumberFormat="1" applyFont="1" applyFill="1" applyBorder="1" applyAlignment="1" applyProtection="1">
      <alignment horizontal="center" vertical="center" wrapText="1"/>
    </xf>
    <xf numFmtId="0" fontId="4" fillId="7" borderId="2"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166" fontId="7" fillId="7" borderId="1" xfId="1" applyNumberFormat="1" applyFont="1" applyFill="1" applyBorder="1" applyAlignment="1" applyProtection="1">
      <alignment horizontal="center" vertical="center" wrapText="1"/>
    </xf>
    <xf numFmtId="165" fontId="10" fillId="5" borderId="1" xfId="1" applyNumberFormat="1" applyFont="1" applyFill="1" applyBorder="1" applyAlignment="1" applyProtection="1">
      <alignment horizontal="center" vertical="center" wrapText="1"/>
    </xf>
    <xf numFmtId="0" fontId="7" fillId="7" borderId="0" xfId="0" applyFont="1" applyFill="1" applyBorder="1" applyAlignment="1">
      <alignment horizontal="center" vertical="top" wrapText="1"/>
    </xf>
    <xf numFmtId="0" fontId="2" fillId="31" borderId="1" xfId="0" applyFont="1" applyFill="1" applyBorder="1" applyAlignment="1">
      <alignment horizontal="center" vertical="center"/>
    </xf>
    <xf numFmtId="0" fontId="2" fillId="31" borderId="1" xfId="0" applyFont="1" applyFill="1" applyBorder="1" applyAlignment="1">
      <alignment horizontal="center" vertical="center"/>
    </xf>
    <xf numFmtId="165" fontId="3" fillId="31" borderId="1" xfId="1" applyNumberFormat="1" applyFont="1" applyFill="1" applyBorder="1" applyAlignment="1">
      <alignment horizontal="center" vertical="center"/>
    </xf>
    <xf numFmtId="165" fontId="2" fillId="31" borderId="1" xfId="0" applyNumberFormat="1" applyFont="1" applyFill="1" applyBorder="1" applyAlignment="1">
      <alignment horizontal="center" vertical="center"/>
    </xf>
    <xf numFmtId="0" fontId="2" fillId="31" borderId="1" xfId="0" applyFont="1" applyFill="1" applyBorder="1" applyAlignment="1">
      <alignment horizontal="center" vertical="center" wrapText="1"/>
    </xf>
    <xf numFmtId="0" fontId="4" fillId="31" borderId="1" xfId="0" applyFont="1" applyFill="1" applyBorder="1" applyAlignment="1">
      <alignment horizontal="center" vertical="center" wrapText="1"/>
    </xf>
    <xf numFmtId="165" fontId="4" fillId="4" borderId="1" xfId="1" applyNumberFormat="1" applyFont="1" applyFill="1" applyBorder="1" applyAlignment="1" applyProtection="1">
      <alignment horizontal="center" vertical="center"/>
    </xf>
    <xf numFmtId="165" fontId="10" fillId="7" borderId="1" xfId="1" applyNumberFormat="1" applyFont="1" applyFill="1" applyBorder="1" applyAlignment="1" applyProtection="1">
      <alignment horizontal="center" vertical="center" wrapText="1"/>
    </xf>
    <xf numFmtId="165" fontId="4" fillId="31" borderId="1" xfId="1" applyNumberFormat="1" applyFont="1" applyFill="1" applyBorder="1" applyAlignment="1">
      <alignment horizontal="center" vertical="center"/>
    </xf>
    <xf numFmtId="165" fontId="8" fillId="7" borderId="1" xfId="1" applyNumberFormat="1" applyFont="1" applyFill="1" applyBorder="1" applyAlignment="1" applyProtection="1">
      <alignment horizontal="center" vertical="center" wrapText="1"/>
    </xf>
    <xf numFmtId="164" fontId="3" fillId="32" borderId="1" xfId="1" applyNumberFormat="1" applyFont="1" applyFill="1" applyBorder="1" applyAlignment="1">
      <alignment horizontal="center" vertical="center" wrapText="1"/>
    </xf>
    <xf numFmtId="165" fontId="3" fillId="32" borderId="1" xfId="1" applyNumberFormat="1" applyFont="1" applyFill="1" applyBorder="1" applyAlignment="1">
      <alignment horizontal="center" vertical="center" wrapText="1"/>
    </xf>
    <xf numFmtId="164" fontId="3" fillId="33" borderId="1" xfId="1" applyNumberFormat="1" applyFont="1" applyFill="1" applyBorder="1" applyAlignment="1" applyProtection="1">
      <alignment horizontal="center" vertical="center" wrapText="1"/>
    </xf>
    <xf numFmtId="164" fontId="4" fillId="0" borderId="1" xfId="1" applyNumberFormat="1" applyFont="1" applyFill="1" applyBorder="1" applyAlignment="1" applyProtection="1">
      <alignment horizontal="center" vertical="center" wrapText="1"/>
    </xf>
    <xf numFmtId="164" fontId="4" fillId="34" borderId="1" xfId="1" applyNumberFormat="1" applyFont="1" applyFill="1" applyBorder="1" applyAlignment="1" applyProtection="1">
      <alignment horizontal="center" vertical="center" wrapText="1"/>
    </xf>
    <xf numFmtId="164" fontId="4" fillId="7" borderId="1" xfId="1" applyNumberFormat="1" applyFont="1" applyFill="1" applyBorder="1" applyAlignment="1" applyProtection="1">
      <alignment horizontal="center" vertical="center" wrapText="1"/>
    </xf>
    <xf numFmtId="164" fontId="4" fillId="7" borderId="1" xfId="3" applyNumberFormat="1" applyFont="1" applyFill="1" applyBorder="1" applyAlignment="1" applyProtection="1">
      <alignment horizontal="center" vertical="center"/>
    </xf>
    <xf numFmtId="164" fontId="8" fillId="7" borderId="1" xfId="1" applyNumberFormat="1" applyFont="1" applyFill="1" applyBorder="1" applyAlignment="1" applyProtection="1">
      <alignment horizontal="center" vertical="center" wrapText="1"/>
    </xf>
    <xf numFmtId="0" fontId="2" fillId="18" borderId="1" xfId="0" applyNumberFormat="1" applyFont="1" applyFill="1" applyBorder="1" applyAlignment="1">
      <alignment horizontal="right" vertical="center"/>
    </xf>
    <xf numFmtId="170" fontId="3" fillId="0" borderId="1" xfId="1" applyNumberFormat="1" applyFont="1" applyFill="1" applyBorder="1" applyAlignment="1" applyProtection="1">
      <alignment horizontal="center" vertical="center" wrapText="1"/>
    </xf>
    <xf numFmtId="170" fontId="3" fillId="7" borderId="1" xfId="1" applyNumberFormat="1" applyFont="1" applyFill="1" applyBorder="1" applyAlignment="1" applyProtection="1">
      <alignment horizontal="center" vertical="center" wrapText="1"/>
    </xf>
    <xf numFmtId="164" fontId="3" fillId="7" borderId="1" xfId="1" applyNumberFormat="1" applyFont="1" applyFill="1" applyBorder="1" applyAlignment="1" applyProtection="1">
      <alignment horizontal="center" vertical="center" wrapText="1"/>
    </xf>
    <xf numFmtId="0" fontId="3" fillId="18" borderId="1" xfId="0" applyFont="1" applyFill="1" applyBorder="1" applyAlignment="1">
      <alignment horizontal="center" vertical="center"/>
    </xf>
    <xf numFmtId="164" fontId="3" fillId="4" borderId="1" xfId="1" applyNumberFormat="1" applyFont="1" applyFill="1" applyBorder="1" applyAlignment="1" applyProtection="1">
      <alignment horizontal="center" vertical="center"/>
    </xf>
    <xf numFmtId="164" fontId="3" fillId="18" borderId="1" xfId="1" applyNumberFormat="1" applyFont="1" applyFill="1" applyBorder="1" applyAlignment="1">
      <alignment horizontal="center" vertical="center"/>
    </xf>
    <xf numFmtId="165" fontId="3" fillId="18" borderId="1" xfId="1" applyNumberFormat="1" applyFont="1" applyFill="1" applyBorder="1" applyAlignment="1">
      <alignment horizontal="center" vertical="center"/>
    </xf>
    <xf numFmtId="167" fontId="6" fillId="7" borderId="1" xfId="3" applyNumberFormat="1" applyFont="1" applyFill="1" applyBorder="1" applyAlignment="1" applyProtection="1">
      <alignment horizontal="center" vertical="center" wrapText="1"/>
    </xf>
    <xf numFmtId="0" fontId="7" fillId="7" borderId="1" xfId="0" applyFont="1" applyFill="1" applyBorder="1" applyAlignment="1">
      <alignment horizontal="center" vertical="top" wrapText="1"/>
    </xf>
    <xf numFmtId="170" fontId="3" fillId="4" borderId="1" xfId="1" applyNumberFormat="1" applyFont="1" applyFill="1" applyBorder="1" applyAlignment="1" applyProtection="1">
      <alignment horizontal="center" vertical="center" wrapText="1"/>
    </xf>
    <xf numFmtId="166" fontId="6" fillId="4" borderId="1" xfId="1" applyNumberFormat="1" applyFont="1" applyFill="1" applyBorder="1" applyAlignment="1" applyProtection="1">
      <alignment horizontal="center" vertical="center" wrapText="1"/>
    </xf>
    <xf numFmtId="9" fontId="6" fillId="7" borderId="1" xfId="3" applyFont="1" applyFill="1" applyBorder="1" applyAlignment="1" applyProtection="1">
      <alignment horizontal="center" vertical="center" wrapText="1"/>
    </xf>
    <xf numFmtId="0" fontId="11" fillId="0" borderId="0" xfId="0" applyFont="1" applyFill="1" applyBorder="1"/>
    <xf numFmtId="0" fontId="3" fillId="0" borderId="0" xfId="0" applyFont="1" applyFill="1" applyBorder="1" applyAlignment="1">
      <alignment horizontal="center" vertical="center"/>
    </xf>
    <xf numFmtId="0" fontId="3" fillId="0" borderId="0" xfId="0" applyFont="1" applyFill="1" applyBorder="1" applyAlignment="1">
      <alignment horizontal="center"/>
    </xf>
  </cellXfs>
  <cellStyles count="4">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rmando Parra Garzon" id="{01178B02-2B48-4295-8751-E438DAABC1DD}" userId="S-1-5-21-3874396774-2717435476-2593835305-127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17" dT="2019-10-11T18:44:16.40" personId="{01178B02-2B48-4295-8751-E438DAABC1DD}" id="{FD3EDD5F-7470-4FFB-B9E0-833D624854B8}">
    <text>Por confirmar con Pilar!!</text>
  </threadedComment>
  <threadedComment ref="P216" dT="2019-10-18T23:31:54.16" personId="{01178B02-2B48-4295-8751-E438DAABC1DD}" id="{D9F5DE58-9273-45C0-8029-AFE3397CC36A}">
    <text>LB: 9.533 OE: 45.942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059D-4A75-4650-B3E9-F2C66C81EEEA}">
  <dimension ref="A1:S253"/>
  <sheetViews>
    <sheetView tabSelected="1" view="pageBreakPreview" zoomScale="40" zoomScaleNormal="40" zoomScaleSheetLayoutView="40" workbookViewId="0">
      <selection activeCell="Q54" sqref="Q54"/>
    </sheetView>
  </sheetViews>
  <sheetFormatPr baseColWidth="10" defaultRowHeight="15" x14ac:dyDescent="0.25"/>
  <cols>
    <col min="1" max="1" width="19.7109375" style="4" customWidth="1"/>
    <col min="2" max="2" width="22" style="4" customWidth="1"/>
    <col min="3" max="3" width="21.28515625" style="4" customWidth="1"/>
    <col min="4" max="4" width="15.85546875" style="327" hidden="1" customWidth="1"/>
    <col min="5" max="5" width="20.5703125" style="327" hidden="1" customWidth="1"/>
    <col min="6" max="6" width="13.28515625" style="327" hidden="1" customWidth="1"/>
    <col min="7" max="7" width="14" style="327" hidden="1" customWidth="1"/>
    <col min="8" max="8" width="12" style="327" hidden="1" customWidth="1"/>
    <col min="9" max="9" width="13.5703125" style="327" hidden="1" customWidth="1"/>
    <col min="10" max="10" width="12.140625" style="327" hidden="1" customWidth="1"/>
    <col min="11" max="11" width="16.85546875" style="327" hidden="1" customWidth="1"/>
    <col min="12" max="12" width="13.28515625" style="327" customWidth="1"/>
    <col min="13" max="14" width="12.7109375" style="327" hidden="1" customWidth="1"/>
    <col min="15" max="15" width="18" style="327" hidden="1" customWidth="1"/>
    <col min="16" max="16" width="16.140625" style="4" customWidth="1"/>
    <col min="17" max="17" width="20.5703125" style="4" customWidth="1"/>
    <col min="18" max="18" width="144.85546875" style="328" customWidth="1"/>
    <col min="19" max="19" width="85.85546875" style="329" customWidth="1"/>
    <col min="20" max="16384" width="11.42578125" style="4"/>
  </cols>
  <sheetData>
    <row r="1" spans="1:19" ht="24.75" customHeight="1" x14ac:dyDescent="0.25">
      <c r="A1" s="1" t="s">
        <v>0</v>
      </c>
      <c r="B1" s="1" t="s">
        <v>1</v>
      </c>
      <c r="C1" s="1" t="s">
        <v>2</v>
      </c>
      <c r="D1" s="2" t="s">
        <v>3</v>
      </c>
      <c r="E1" s="2"/>
      <c r="F1" s="2"/>
      <c r="G1" s="2"/>
      <c r="H1" s="2"/>
      <c r="I1" s="2"/>
      <c r="J1" s="2"/>
      <c r="K1" s="2"/>
      <c r="L1" s="2"/>
      <c r="M1" s="2"/>
      <c r="N1" s="2"/>
      <c r="O1" s="2"/>
      <c r="P1" s="2"/>
      <c r="Q1" s="3"/>
      <c r="R1" s="1" t="s">
        <v>4</v>
      </c>
      <c r="S1" s="1" t="s">
        <v>5</v>
      </c>
    </row>
    <row r="2" spans="1:19" ht="24.75" customHeight="1" x14ac:dyDescent="0.25">
      <c r="A2" s="1"/>
      <c r="B2" s="1"/>
      <c r="C2" s="1"/>
      <c r="D2" s="3">
        <v>0</v>
      </c>
      <c r="E2" s="3">
        <v>0</v>
      </c>
      <c r="F2" s="3">
        <v>0</v>
      </c>
      <c r="G2" s="3">
        <v>33</v>
      </c>
      <c r="H2" s="3">
        <v>115</v>
      </c>
      <c r="I2" s="3">
        <v>0</v>
      </c>
      <c r="J2" s="3">
        <v>201</v>
      </c>
      <c r="K2" s="3">
        <v>147</v>
      </c>
      <c r="L2" s="3">
        <v>67</v>
      </c>
      <c r="M2" s="3">
        <v>29</v>
      </c>
      <c r="N2" s="3">
        <v>13</v>
      </c>
      <c r="O2" s="3">
        <v>16</v>
      </c>
      <c r="P2" s="3">
        <f>+SUM(D2:O2)</f>
        <v>621</v>
      </c>
      <c r="Q2" s="5" t="s">
        <v>6</v>
      </c>
      <c r="R2" s="1"/>
      <c r="S2" s="1"/>
    </row>
    <row r="3" spans="1:19" ht="24.75" customHeight="1" x14ac:dyDescent="0.25">
      <c r="A3" s="1"/>
      <c r="B3" s="1"/>
      <c r="C3" s="1"/>
      <c r="D3" s="3">
        <v>8</v>
      </c>
      <c r="E3" s="3">
        <v>0</v>
      </c>
      <c r="F3" s="3">
        <v>0</v>
      </c>
      <c r="G3" s="3">
        <v>3</v>
      </c>
      <c r="H3" s="3">
        <v>0</v>
      </c>
      <c r="I3" s="3">
        <v>197</v>
      </c>
      <c r="J3" s="3">
        <v>216</v>
      </c>
      <c r="K3" s="3">
        <v>119</v>
      </c>
      <c r="L3" s="3">
        <v>57</v>
      </c>
      <c r="M3" s="3">
        <v>59</v>
      </c>
      <c r="N3" s="3">
        <v>55</v>
      </c>
      <c r="O3" s="3">
        <v>45</v>
      </c>
      <c r="P3" s="3">
        <v>730</v>
      </c>
      <c r="Q3" s="5" t="s">
        <v>7</v>
      </c>
      <c r="R3" s="1"/>
      <c r="S3" s="1"/>
    </row>
    <row r="4" spans="1:19" ht="24.75" customHeight="1" x14ac:dyDescent="0.25">
      <c r="A4" s="1"/>
      <c r="B4" s="1"/>
      <c r="C4" s="1"/>
      <c r="D4" s="3">
        <v>0</v>
      </c>
      <c r="E4" s="3">
        <v>0</v>
      </c>
      <c r="F4" s="3">
        <v>9</v>
      </c>
      <c r="G4" s="3">
        <v>25</v>
      </c>
      <c r="H4" s="3">
        <v>66</v>
      </c>
      <c r="I4" s="3">
        <v>181</v>
      </c>
      <c r="J4" s="3">
        <v>276</v>
      </c>
      <c r="K4" s="3">
        <v>129</v>
      </c>
      <c r="L4" s="3">
        <v>207</v>
      </c>
      <c r="M4" s="3">
        <v>62</v>
      </c>
      <c r="N4" s="3">
        <v>34</v>
      </c>
      <c r="O4" s="3">
        <v>20</v>
      </c>
      <c r="P4" s="3">
        <v>999</v>
      </c>
      <c r="Q4" s="5" t="s">
        <v>8</v>
      </c>
      <c r="R4" s="1"/>
      <c r="S4" s="1"/>
    </row>
    <row r="5" spans="1:19" ht="25.5" customHeight="1" x14ac:dyDescent="0.25">
      <c r="A5" s="1"/>
      <c r="B5" s="1"/>
      <c r="C5" s="1"/>
      <c r="D5" s="6" t="s">
        <v>9</v>
      </c>
      <c r="E5" s="6" t="s">
        <v>10</v>
      </c>
      <c r="F5" s="6" t="s">
        <v>11</v>
      </c>
      <c r="G5" s="6" t="s">
        <v>12</v>
      </c>
      <c r="H5" s="6" t="s">
        <v>13</v>
      </c>
      <c r="I5" s="6" t="s">
        <v>14</v>
      </c>
      <c r="J5" s="6" t="s">
        <v>15</v>
      </c>
      <c r="K5" s="6" t="s">
        <v>16</v>
      </c>
      <c r="L5" s="6" t="s">
        <v>17</v>
      </c>
      <c r="M5" s="6" t="s">
        <v>18</v>
      </c>
      <c r="N5" s="6" t="s">
        <v>19</v>
      </c>
      <c r="O5" s="6" t="s">
        <v>20</v>
      </c>
      <c r="P5" s="6" t="s">
        <v>21</v>
      </c>
      <c r="Q5" s="6" t="s">
        <v>22</v>
      </c>
      <c r="R5" s="1"/>
      <c r="S5" s="1"/>
    </row>
    <row r="6" spans="1:19" ht="107.25" customHeight="1" x14ac:dyDescent="0.25">
      <c r="A6" s="7" t="s">
        <v>23</v>
      </c>
      <c r="B6" s="8" t="s">
        <v>24</v>
      </c>
      <c r="C6" s="9" t="s">
        <v>25</v>
      </c>
      <c r="D6" s="10">
        <v>0</v>
      </c>
      <c r="E6" s="10">
        <v>0</v>
      </c>
      <c r="F6" s="10">
        <v>3</v>
      </c>
      <c r="G6" s="10">
        <v>15</v>
      </c>
      <c r="H6" s="10">
        <v>82</v>
      </c>
      <c r="I6" s="10">
        <v>92</v>
      </c>
      <c r="J6" s="10">
        <v>151</v>
      </c>
      <c r="K6" s="10">
        <v>125</v>
      </c>
      <c r="L6" s="11">
        <v>25</v>
      </c>
      <c r="M6" s="11"/>
      <c r="N6" s="11"/>
      <c r="O6" s="11"/>
      <c r="P6" s="12">
        <f>SUM(D6:O6)</f>
        <v>493</v>
      </c>
      <c r="Q6" s="13">
        <f>+(P8/980)</f>
        <v>0.91428571428571426</v>
      </c>
      <c r="R6" s="14" t="s">
        <v>26</v>
      </c>
      <c r="S6" s="15" t="s">
        <v>27</v>
      </c>
    </row>
    <row r="7" spans="1:19" ht="107.25" customHeight="1" x14ac:dyDescent="0.25">
      <c r="A7" s="7"/>
      <c r="B7" s="8"/>
      <c r="C7" s="9" t="s">
        <v>28</v>
      </c>
      <c r="D7" s="10">
        <v>0</v>
      </c>
      <c r="E7" s="10">
        <v>0</v>
      </c>
      <c r="F7" s="10">
        <v>3</v>
      </c>
      <c r="G7" s="10">
        <v>15</v>
      </c>
      <c r="H7" s="16">
        <v>92</v>
      </c>
      <c r="I7" s="16">
        <v>25</v>
      </c>
      <c r="J7" s="11">
        <v>130</v>
      </c>
      <c r="K7" s="11">
        <v>56</v>
      </c>
      <c r="L7" s="11">
        <v>82</v>
      </c>
      <c r="M7" s="11">
        <v>0</v>
      </c>
      <c r="N7" s="11"/>
      <c r="O7" s="11"/>
      <c r="P7" s="12">
        <f>SUM(D7:O7)</f>
        <v>403</v>
      </c>
      <c r="Q7" s="13"/>
      <c r="R7" s="14"/>
      <c r="S7" s="15"/>
    </row>
    <row r="8" spans="1:19" ht="27" customHeight="1" x14ac:dyDescent="0.25">
      <c r="A8" s="7"/>
      <c r="B8" s="8"/>
      <c r="C8" s="17" t="s">
        <v>29</v>
      </c>
      <c r="D8" s="18">
        <f t="shared" ref="D8:O8" si="0">+D6+D7</f>
        <v>0</v>
      </c>
      <c r="E8" s="18">
        <f t="shared" si="0"/>
        <v>0</v>
      </c>
      <c r="F8" s="18">
        <f t="shared" si="0"/>
        <v>6</v>
      </c>
      <c r="G8" s="18">
        <f t="shared" si="0"/>
        <v>30</v>
      </c>
      <c r="H8" s="18">
        <f t="shared" si="0"/>
        <v>174</v>
      </c>
      <c r="I8" s="18">
        <f t="shared" si="0"/>
        <v>117</v>
      </c>
      <c r="J8" s="18">
        <f t="shared" si="0"/>
        <v>281</v>
      </c>
      <c r="K8" s="18">
        <f t="shared" si="0"/>
        <v>181</v>
      </c>
      <c r="L8" s="18">
        <f t="shared" si="0"/>
        <v>107</v>
      </c>
      <c r="M8" s="18">
        <f t="shared" si="0"/>
        <v>0</v>
      </c>
      <c r="N8" s="18">
        <f t="shared" si="0"/>
        <v>0</v>
      </c>
      <c r="O8" s="18">
        <f t="shared" si="0"/>
        <v>0</v>
      </c>
      <c r="P8" s="19">
        <f>+P6+P7</f>
        <v>896</v>
      </c>
      <c r="Q8" s="13"/>
      <c r="R8" s="14"/>
      <c r="S8" s="15"/>
    </row>
    <row r="9" spans="1:19" ht="26.25" customHeight="1" x14ac:dyDescent="0.25">
      <c r="A9" s="7"/>
      <c r="B9" s="20" t="s">
        <v>1</v>
      </c>
      <c r="C9" s="21"/>
      <c r="D9" s="22" t="s">
        <v>30</v>
      </c>
      <c r="E9" s="23"/>
      <c r="F9" s="23"/>
      <c r="G9" s="23"/>
      <c r="H9" s="23"/>
      <c r="I9" s="23"/>
      <c r="J9" s="23"/>
      <c r="K9" s="23"/>
      <c r="L9" s="23"/>
      <c r="M9" s="23"/>
      <c r="N9" s="23"/>
      <c r="O9" s="23"/>
      <c r="P9" s="23"/>
      <c r="Q9" s="3"/>
      <c r="R9" s="1" t="s">
        <v>4</v>
      </c>
      <c r="S9" s="1" t="s">
        <v>5</v>
      </c>
    </row>
    <row r="10" spans="1:19" ht="26.25" customHeight="1" x14ac:dyDescent="0.25">
      <c r="A10" s="7"/>
      <c r="B10" s="1"/>
      <c r="C10" s="24" t="s">
        <v>2</v>
      </c>
      <c r="D10" s="25"/>
      <c r="E10" s="26"/>
      <c r="F10" s="26">
        <v>10</v>
      </c>
      <c r="G10" s="26">
        <v>4</v>
      </c>
      <c r="H10" s="26">
        <v>4</v>
      </c>
      <c r="I10" s="26">
        <v>0</v>
      </c>
      <c r="J10" s="26">
        <v>4</v>
      </c>
      <c r="K10" s="26">
        <v>21</v>
      </c>
      <c r="L10" s="26">
        <v>16</v>
      </c>
      <c r="M10" s="26">
        <v>2</v>
      </c>
      <c r="N10" s="26">
        <v>2</v>
      </c>
      <c r="O10" s="26">
        <v>0</v>
      </c>
      <c r="P10" s="3">
        <f>+SUM(D10:O10)</f>
        <v>63</v>
      </c>
      <c r="Q10" s="5" t="s">
        <v>6</v>
      </c>
      <c r="R10" s="1"/>
      <c r="S10" s="1"/>
    </row>
    <row r="11" spans="1:19" ht="26.25" customHeight="1" x14ac:dyDescent="0.25">
      <c r="A11" s="7"/>
      <c r="B11" s="1"/>
      <c r="C11" s="24"/>
      <c r="D11" s="25">
        <v>0</v>
      </c>
      <c r="E11" s="26">
        <v>0</v>
      </c>
      <c r="F11" s="26">
        <v>2</v>
      </c>
      <c r="G11" s="26">
        <v>1</v>
      </c>
      <c r="H11" s="26">
        <v>11</v>
      </c>
      <c r="I11" s="26">
        <v>42</v>
      </c>
      <c r="J11" s="26">
        <v>17</v>
      </c>
      <c r="K11" s="26">
        <v>0</v>
      </c>
      <c r="L11" s="26">
        <v>0</v>
      </c>
      <c r="M11" s="26">
        <v>0</v>
      </c>
      <c r="N11" s="26">
        <v>1</v>
      </c>
      <c r="O11" s="26">
        <v>12</v>
      </c>
      <c r="P11" s="26">
        <v>86</v>
      </c>
      <c r="Q11" s="5" t="s">
        <v>7</v>
      </c>
      <c r="R11" s="1"/>
      <c r="S11" s="1"/>
    </row>
    <row r="12" spans="1:19" ht="26.25" customHeight="1" x14ac:dyDescent="0.25">
      <c r="A12" s="7"/>
      <c r="B12" s="1"/>
      <c r="C12" s="24"/>
      <c r="D12" s="25">
        <v>0</v>
      </c>
      <c r="E12" s="26">
        <v>0</v>
      </c>
      <c r="F12" s="26">
        <v>5</v>
      </c>
      <c r="G12" s="26">
        <v>0</v>
      </c>
      <c r="H12" s="26">
        <v>0</v>
      </c>
      <c r="I12" s="26">
        <v>27</v>
      </c>
      <c r="J12" s="26">
        <v>0</v>
      </c>
      <c r="K12" s="26">
        <v>0</v>
      </c>
      <c r="L12" s="26">
        <v>66</v>
      </c>
      <c r="M12" s="26">
        <v>0</v>
      </c>
      <c r="N12" s="26">
        <v>0</v>
      </c>
      <c r="O12" s="26">
        <v>74</v>
      </c>
      <c r="P12" s="26">
        <v>74</v>
      </c>
      <c r="Q12" s="5" t="s">
        <v>8</v>
      </c>
      <c r="R12" s="1"/>
      <c r="S12" s="1"/>
    </row>
    <row r="13" spans="1:19" x14ac:dyDescent="0.25">
      <c r="A13" s="7"/>
      <c r="B13" s="1"/>
      <c r="C13" s="27"/>
      <c r="D13" s="28" t="s">
        <v>9</v>
      </c>
      <c r="E13" s="29" t="s">
        <v>10</v>
      </c>
      <c r="F13" s="29" t="s">
        <v>11</v>
      </c>
      <c r="G13" s="29" t="s">
        <v>12</v>
      </c>
      <c r="H13" s="29" t="s">
        <v>13</v>
      </c>
      <c r="I13" s="29" t="s">
        <v>14</v>
      </c>
      <c r="J13" s="29" t="s">
        <v>15</v>
      </c>
      <c r="K13" s="29" t="s">
        <v>16</v>
      </c>
      <c r="L13" s="29" t="s">
        <v>17</v>
      </c>
      <c r="M13" s="29" t="s">
        <v>18</v>
      </c>
      <c r="N13" s="29" t="s">
        <v>19</v>
      </c>
      <c r="O13" s="29" t="s">
        <v>20</v>
      </c>
      <c r="P13" s="29" t="s">
        <v>21</v>
      </c>
      <c r="Q13" s="6" t="s">
        <v>22</v>
      </c>
      <c r="R13" s="1"/>
      <c r="S13" s="1"/>
    </row>
    <row r="14" spans="1:19" ht="24.95" customHeight="1" x14ac:dyDescent="0.25">
      <c r="A14" s="7"/>
      <c r="B14" s="15" t="s">
        <v>31</v>
      </c>
      <c r="C14" s="9" t="s">
        <v>32</v>
      </c>
      <c r="D14" s="30"/>
      <c r="E14" s="30"/>
      <c r="F14" s="16"/>
      <c r="G14" s="31"/>
      <c r="H14" s="31"/>
      <c r="I14" s="16">
        <v>3</v>
      </c>
      <c r="J14" s="30"/>
      <c r="K14" s="31"/>
      <c r="L14" s="16">
        <v>3</v>
      </c>
      <c r="M14" s="30"/>
      <c r="N14" s="32"/>
      <c r="O14" s="11"/>
      <c r="P14" s="33">
        <f>L14</f>
        <v>3</v>
      </c>
      <c r="Q14" s="34">
        <f>+(P22/60)</f>
        <v>1.2333333333333334</v>
      </c>
      <c r="R14" s="35" t="s">
        <v>33</v>
      </c>
      <c r="S14" s="36" t="s">
        <v>34</v>
      </c>
    </row>
    <row r="15" spans="1:19" ht="24.95" customHeight="1" x14ac:dyDescent="0.25">
      <c r="A15" s="7"/>
      <c r="B15" s="15"/>
      <c r="C15" s="9" t="s">
        <v>35</v>
      </c>
      <c r="D15" s="30"/>
      <c r="E15" s="30"/>
      <c r="F15" s="11"/>
      <c r="G15" s="30"/>
      <c r="H15" s="30"/>
      <c r="I15" s="11">
        <v>10</v>
      </c>
      <c r="J15" s="31"/>
      <c r="K15" s="31"/>
      <c r="L15" s="16">
        <v>43</v>
      </c>
      <c r="M15" s="30"/>
      <c r="N15" s="30"/>
      <c r="O15" s="11"/>
      <c r="P15" s="33">
        <f t="shared" ref="P15:P21" si="1">L15</f>
        <v>43</v>
      </c>
      <c r="Q15" s="34"/>
      <c r="R15" s="35"/>
      <c r="S15" s="36"/>
    </row>
    <row r="16" spans="1:19" ht="24.95" customHeight="1" x14ac:dyDescent="0.25">
      <c r="A16" s="7"/>
      <c r="B16" s="15"/>
      <c r="C16" s="9" t="s">
        <v>36</v>
      </c>
      <c r="D16" s="30"/>
      <c r="E16" s="30"/>
      <c r="F16" s="16"/>
      <c r="G16" s="30"/>
      <c r="H16" s="30"/>
      <c r="I16" s="11">
        <v>6</v>
      </c>
      <c r="J16" s="30"/>
      <c r="K16" s="31"/>
      <c r="L16" s="16">
        <v>6</v>
      </c>
      <c r="M16" s="31"/>
      <c r="N16" s="32"/>
      <c r="O16" s="11"/>
      <c r="P16" s="33">
        <f t="shared" si="1"/>
        <v>6</v>
      </c>
      <c r="Q16" s="34"/>
      <c r="R16" s="35"/>
      <c r="S16" s="36"/>
    </row>
    <row r="17" spans="1:19" ht="24.95" customHeight="1" x14ac:dyDescent="0.25">
      <c r="A17" s="7"/>
      <c r="B17" s="15"/>
      <c r="C17" s="9" t="s">
        <v>37</v>
      </c>
      <c r="D17" s="30"/>
      <c r="E17" s="30"/>
      <c r="F17" s="11">
        <v>1</v>
      </c>
      <c r="G17" s="30"/>
      <c r="H17" s="30"/>
      <c r="I17" s="11">
        <v>3</v>
      </c>
      <c r="J17" s="30"/>
      <c r="K17" s="31"/>
      <c r="L17" s="16">
        <v>5</v>
      </c>
      <c r="M17" s="31"/>
      <c r="N17" s="32"/>
      <c r="O17" s="11"/>
      <c r="P17" s="33">
        <f t="shared" si="1"/>
        <v>5</v>
      </c>
      <c r="Q17" s="34"/>
      <c r="R17" s="35"/>
      <c r="S17" s="36"/>
    </row>
    <row r="18" spans="1:19" ht="24.95" customHeight="1" x14ac:dyDescent="0.25">
      <c r="A18" s="37"/>
      <c r="B18" s="38"/>
      <c r="C18" s="9" t="s">
        <v>38</v>
      </c>
      <c r="D18" s="30"/>
      <c r="E18" s="30"/>
      <c r="F18" s="11"/>
      <c r="G18" s="30"/>
      <c r="H18" s="30"/>
      <c r="I18" s="11">
        <v>7</v>
      </c>
      <c r="J18" s="30"/>
      <c r="K18" s="31"/>
      <c r="L18" s="16">
        <v>9</v>
      </c>
      <c r="M18" s="31"/>
      <c r="N18" s="32"/>
      <c r="O18" s="11"/>
      <c r="P18" s="33">
        <f t="shared" si="1"/>
        <v>9</v>
      </c>
      <c r="Q18" s="34"/>
      <c r="R18" s="35"/>
      <c r="S18" s="36"/>
    </row>
    <row r="19" spans="1:19" ht="24.95" customHeight="1" x14ac:dyDescent="0.25">
      <c r="A19" s="39"/>
      <c r="B19" s="40"/>
      <c r="C19" s="41" t="s">
        <v>39</v>
      </c>
      <c r="D19" s="30"/>
      <c r="E19" s="30"/>
      <c r="F19" s="11">
        <v>1</v>
      </c>
      <c r="G19" s="30"/>
      <c r="H19" s="30"/>
      <c r="I19" s="11">
        <v>1</v>
      </c>
      <c r="J19" s="30"/>
      <c r="K19" s="31"/>
      <c r="L19" s="16">
        <v>2</v>
      </c>
      <c r="M19" s="31"/>
      <c r="N19" s="32"/>
      <c r="O19" s="11"/>
      <c r="P19" s="33">
        <f t="shared" si="1"/>
        <v>2</v>
      </c>
      <c r="Q19" s="34"/>
      <c r="R19" s="35"/>
      <c r="S19" s="36"/>
    </row>
    <row r="20" spans="1:19" s="45" customFormat="1" ht="24.95" customHeight="1" x14ac:dyDescent="0.25">
      <c r="A20" s="42"/>
      <c r="B20" s="43"/>
      <c r="C20" s="44" t="s">
        <v>40</v>
      </c>
      <c r="D20" s="30"/>
      <c r="E20" s="30"/>
      <c r="F20" s="11"/>
      <c r="G20" s="30"/>
      <c r="H20" s="30"/>
      <c r="I20" s="11">
        <v>4</v>
      </c>
      <c r="J20" s="30"/>
      <c r="K20" s="31"/>
      <c r="L20" s="16">
        <v>6</v>
      </c>
      <c r="M20" s="31"/>
      <c r="N20" s="32"/>
      <c r="O20" s="11"/>
      <c r="P20" s="33">
        <f t="shared" si="1"/>
        <v>6</v>
      </c>
      <c r="Q20" s="34"/>
      <c r="R20" s="35"/>
      <c r="S20" s="36"/>
    </row>
    <row r="21" spans="1:19" s="45" customFormat="1" ht="24.95" customHeight="1" x14ac:dyDescent="0.25">
      <c r="A21" s="7"/>
      <c r="B21" s="15"/>
      <c r="C21" s="44" t="s">
        <v>41</v>
      </c>
      <c r="D21" s="30"/>
      <c r="E21" s="31"/>
      <c r="F21" s="16"/>
      <c r="G21" s="30"/>
      <c r="H21" s="30"/>
      <c r="I21" s="11"/>
      <c r="J21" s="30"/>
      <c r="K21" s="31"/>
      <c r="L21" s="16"/>
      <c r="M21" s="31"/>
      <c r="N21" s="32"/>
      <c r="O21" s="11"/>
      <c r="P21" s="33">
        <f t="shared" si="1"/>
        <v>0</v>
      </c>
      <c r="Q21" s="34"/>
      <c r="R21" s="35"/>
      <c r="S21" s="36"/>
    </row>
    <row r="22" spans="1:19" ht="111.75" customHeight="1" x14ac:dyDescent="0.25">
      <c r="A22" s="7"/>
      <c r="B22" s="15"/>
      <c r="C22" s="46" t="s">
        <v>42</v>
      </c>
      <c r="D22" s="47">
        <f>+SUM(D14:D21)</f>
        <v>0</v>
      </c>
      <c r="E22" s="47">
        <f t="shared" ref="E22:M22" si="2">+SUM(E14:E21)</f>
        <v>0</v>
      </c>
      <c r="F22" s="48">
        <f t="shared" si="2"/>
        <v>2</v>
      </c>
      <c r="G22" s="47">
        <f t="shared" si="2"/>
        <v>0</v>
      </c>
      <c r="H22" s="47">
        <f t="shared" si="2"/>
        <v>0</v>
      </c>
      <c r="I22" s="48">
        <f t="shared" si="2"/>
        <v>34</v>
      </c>
      <c r="J22" s="47">
        <f t="shared" si="2"/>
        <v>0</v>
      </c>
      <c r="K22" s="47">
        <f t="shared" si="2"/>
        <v>0</v>
      </c>
      <c r="L22" s="48">
        <f t="shared" si="2"/>
        <v>74</v>
      </c>
      <c r="M22" s="47">
        <f t="shared" si="2"/>
        <v>0</v>
      </c>
      <c r="N22" s="47">
        <f>+SUM(N14:N21)</f>
        <v>0</v>
      </c>
      <c r="O22" s="48">
        <f>+SUM(O14:O21)</f>
        <v>0</v>
      </c>
      <c r="P22" s="49">
        <f>L22</f>
        <v>74</v>
      </c>
      <c r="Q22" s="34"/>
      <c r="R22" s="35"/>
      <c r="S22" s="36"/>
    </row>
    <row r="23" spans="1:19" ht="24.75" customHeight="1" x14ac:dyDescent="0.25">
      <c r="A23" s="7"/>
      <c r="B23" s="1" t="s">
        <v>1</v>
      </c>
      <c r="C23" s="1" t="s">
        <v>43</v>
      </c>
      <c r="D23" s="2" t="s">
        <v>44</v>
      </c>
      <c r="E23" s="2"/>
      <c r="F23" s="2"/>
      <c r="G23" s="2"/>
      <c r="H23" s="2"/>
      <c r="I23" s="2"/>
      <c r="J23" s="2"/>
      <c r="K23" s="2"/>
      <c r="L23" s="2"/>
      <c r="M23" s="2"/>
      <c r="N23" s="2"/>
      <c r="O23" s="2"/>
      <c r="P23" s="2"/>
      <c r="Q23" s="3"/>
      <c r="R23" s="1" t="s">
        <v>4</v>
      </c>
      <c r="S23" s="1" t="s">
        <v>5</v>
      </c>
    </row>
    <row r="24" spans="1:19" ht="24.75" customHeight="1" x14ac:dyDescent="0.25">
      <c r="A24" s="7"/>
      <c r="B24" s="1"/>
      <c r="C24" s="1"/>
      <c r="D24" s="3"/>
      <c r="E24" s="3"/>
      <c r="F24" s="3"/>
      <c r="G24" s="3"/>
      <c r="H24" s="3"/>
      <c r="I24" s="3"/>
      <c r="J24" s="50">
        <v>0</v>
      </c>
      <c r="K24" s="50">
        <v>369</v>
      </c>
      <c r="L24" s="50">
        <f>956+K24</f>
        <v>1325</v>
      </c>
      <c r="M24" s="50">
        <f>1101+L24</f>
        <v>2426</v>
      </c>
      <c r="N24" s="50">
        <f>719+M24</f>
        <v>3145</v>
      </c>
      <c r="O24" s="50">
        <f>320+N24</f>
        <v>3465</v>
      </c>
      <c r="P24" s="50">
        <f>+O24</f>
        <v>3465</v>
      </c>
      <c r="Q24" s="5" t="s">
        <v>6</v>
      </c>
      <c r="R24" s="1"/>
      <c r="S24" s="1"/>
    </row>
    <row r="25" spans="1:19" ht="24.75" customHeight="1" x14ac:dyDescent="0.25">
      <c r="A25" s="7"/>
      <c r="B25" s="1"/>
      <c r="C25" s="1"/>
      <c r="D25" s="3">
        <v>0</v>
      </c>
      <c r="E25" s="3">
        <v>0</v>
      </c>
      <c r="F25" s="3">
        <v>0</v>
      </c>
      <c r="G25" s="3">
        <v>0</v>
      </c>
      <c r="H25" s="3">
        <v>26</v>
      </c>
      <c r="I25" s="3">
        <v>517</v>
      </c>
      <c r="J25" s="50">
        <v>1059</v>
      </c>
      <c r="K25" s="50">
        <v>1634</v>
      </c>
      <c r="L25" s="50">
        <v>2237</v>
      </c>
      <c r="M25" s="50">
        <v>2790</v>
      </c>
      <c r="N25" s="50">
        <v>3132</v>
      </c>
      <c r="O25" s="50">
        <v>3211</v>
      </c>
      <c r="P25" s="50">
        <v>3211</v>
      </c>
      <c r="Q25" s="5" t="s">
        <v>7</v>
      </c>
      <c r="R25" s="1"/>
      <c r="S25" s="1"/>
    </row>
    <row r="26" spans="1:19" x14ac:dyDescent="0.25">
      <c r="A26" s="7"/>
      <c r="B26" s="1"/>
      <c r="C26" s="1"/>
      <c r="D26" s="6" t="s">
        <v>9</v>
      </c>
      <c r="E26" s="6" t="s">
        <v>10</v>
      </c>
      <c r="F26" s="6" t="s">
        <v>11</v>
      </c>
      <c r="G26" s="6" t="s">
        <v>12</v>
      </c>
      <c r="H26" s="6" t="s">
        <v>13</v>
      </c>
      <c r="I26" s="6" t="s">
        <v>14</v>
      </c>
      <c r="J26" s="6" t="s">
        <v>15</v>
      </c>
      <c r="K26" s="6" t="s">
        <v>16</v>
      </c>
      <c r="L26" s="6" t="s">
        <v>17</v>
      </c>
      <c r="M26" s="6" t="s">
        <v>18</v>
      </c>
      <c r="N26" s="6" t="s">
        <v>19</v>
      </c>
      <c r="O26" s="6" t="s">
        <v>20</v>
      </c>
      <c r="P26" s="6" t="s">
        <v>21</v>
      </c>
      <c r="Q26" s="6" t="s">
        <v>22</v>
      </c>
      <c r="R26" s="51"/>
      <c r="S26" s="51"/>
    </row>
    <row r="27" spans="1:19" ht="373.5" customHeight="1" x14ac:dyDescent="0.25">
      <c r="A27" s="7"/>
      <c r="B27" s="9" t="s">
        <v>45</v>
      </c>
      <c r="C27" s="9" t="s">
        <v>46</v>
      </c>
      <c r="D27" s="52"/>
      <c r="E27" s="52"/>
      <c r="F27" s="53">
        <v>0.05</v>
      </c>
      <c r="G27" s="52"/>
      <c r="H27" s="52"/>
      <c r="I27" s="53">
        <v>0.05</v>
      </c>
      <c r="J27" s="52"/>
      <c r="K27" s="52"/>
      <c r="L27" s="53">
        <v>0.05</v>
      </c>
      <c r="M27" s="52"/>
      <c r="N27" s="52"/>
      <c r="O27" s="53"/>
      <c r="P27" s="54">
        <f>+F27</f>
        <v>0.05</v>
      </c>
      <c r="Q27" s="55">
        <f>+P27/5%</f>
        <v>1</v>
      </c>
      <c r="R27" s="56" t="s">
        <v>47</v>
      </c>
      <c r="S27" s="57" t="s">
        <v>34</v>
      </c>
    </row>
    <row r="28" spans="1:19" x14ac:dyDescent="0.25">
      <c r="A28" s="7"/>
      <c r="B28" s="1" t="s">
        <v>1</v>
      </c>
      <c r="C28" s="1" t="s">
        <v>43</v>
      </c>
      <c r="D28" s="23" t="s">
        <v>48</v>
      </c>
      <c r="E28" s="23"/>
      <c r="F28" s="23"/>
      <c r="G28" s="23"/>
      <c r="H28" s="23"/>
      <c r="I28" s="23"/>
      <c r="J28" s="23"/>
      <c r="K28" s="23"/>
      <c r="L28" s="23"/>
      <c r="M28" s="23"/>
      <c r="N28" s="23"/>
      <c r="O28" s="23"/>
      <c r="P28" s="23"/>
      <c r="Q28" s="3"/>
      <c r="R28" s="58" t="s">
        <v>4</v>
      </c>
      <c r="S28" s="58" t="s">
        <v>5</v>
      </c>
    </row>
    <row r="29" spans="1:19" ht="19.5" customHeight="1" x14ac:dyDescent="0.25">
      <c r="A29" s="7"/>
      <c r="B29" s="1"/>
      <c r="C29" s="1"/>
      <c r="D29" s="3">
        <v>1</v>
      </c>
      <c r="E29" s="3">
        <v>1</v>
      </c>
      <c r="F29" s="3">
        <v>1</v>
      </c>
      <c r="G29" s="3">
        <v>1</v>
      </c>
      <c r="H29" s="3">
        <v>1</v>
      </c>
      <c r="I29" s="3">
        <v>1</v>
      </c>
      <c r="J29" s="3">
        <v>1</v>
      </c>
      <c r="K29" s="3">
        <v>1</v>
      </c>
      <c r="L29" s="3">
        <v>1</v>
      </c>
      <c r="M29" s="3">
        <v>1</v>
      </c>
      <c r="N29" s="3">
        <v>1</v>
      </c>
      <c r="O29" s="3">
        <v>1</v>
      </c>
      <c r="P29" s="3">
        <v>1</v>
      </c>
      <c r="Q29" s="5" t="s">
        <v>49</v>
      </c>
      <c r="R29" s="1"/>
      <c r="S29" s="1"/>
    </row>
    <row r="30" spans="1:19" x14ac:dyDescent="0.25">
      <c r="A30" s="7"/>
      <c r="B30" s="1"/>
      <c r="C30" s="1"/>
      <c r="D30" s="6" t="s">
        <v>9</v>
      </c>
      <c r="E30" s="6" t="s">
        <v>10</v>
      </c>
      <c r="F30" s="6" t="s">
        <v>11</v>
      </c>
      <c r="G30" s="6" t="s">
        <v>12</v>
      </c>
      <c r="H30" s="6" t="s">
        <v>13</v>
      </c>
      <c r="I30" s="6" t="s">
        <v>14</v>
      </c>
      <c r="J30" s="6" t="s">
        <v>15</v>
      </c>
      <c r="K30" s="6" t="s">
        <v>16</v>
      </c>
      <c r="L30" s="6" t="s">
        <v>17</v>
      </c>
      <c r="M30" s="6" t="s">
        <v>18</v>
      </c>
      <c r="N30" s="6" t="s">
        <v>19</v>
      </c>
      <c r="O30" s="6" t="s">
        <v>20</v>
      </c>
      <c r="P30" s="6" t="s">
        <v>21</v>
      </c>
      <c r="Q30" s="59" t="s">
        <v>22</v>
      </c>
      <c r="R30" s="1"/>
      <c r="S30" s="1"/>
    </row>
    <row r="31" spans="1:19" ht="343.5" customHeight="1" x14ac:dyDescent="0.25">
      <c r="A31" s="7"/>
      <c r="B31" s="9" t="s">
        <v>50</v>
      </c>
      <c r="C31" s="9" t="s">
        <v>51</v>
      </c>
      <c r="D31" s="60"/>
      <c r="E31" s="60"/>
      <c r="F31" s="61">
        <v>1</v>
      </c>
      <c r="G31" s="62"/>
      <c r="H31" s="63"/>
      <c r="I31" s="61">
        <v>1</v>
      </c>
      <c r="J31" s="63"/>
      <c r="K31" s="63"/>
      <c r="L31" s="61">
        <v>1</v>
      </c>
      <c r="M31" s="63"/>
      <c r="N31" s="63"/>
      <c r="O31" s="64"/>
      <c r="P31" s="65">
        <f>+F31</f>
        <v>1</v>
      </c>
      <c r="Q31" s="66">
        <f>+(P31/1)</f>
        <v>1</v>
      </c>
      <c r="R31" s="67" t="s">
        <v>52</v>
      </c>
      <c r="S31" s="68" t="s">
        <v>34</v>
      </c>
    </row>
    <row r="32" spans="1:19" ht="19.5" customHeight="1" x14ac:dyDescent="0.25">
      <c r="A32" s="1" t="s">
        <v>0</v>
      </c>
      <c r="B32" s="1" t="s">
        <v>1</v>
      </c>
      <c r="C32" s="1" t="s">
        <v>43</v>
      </c>
      <c r="D32" s="69" t="s">
        <v>53</v>
      </c>
      <c r="E32" s="69"/>
      <c r="F32" s="69"/>
      <c r="G32" s="69"/>
      <c r="H32" s="69"/>
      <c r="I32" s="69"/>
      <c r="J32" s="69"/>
      <c r="K32" s="69"/>
      <c r="L32" s="69"/>
      <c r="M32" s="69"/>
      <c r="N32" s="69"/>
      <c r="O32" s="69"/>
      <c r="P32" s="69"/>
      <c r="Q32" s="70"/>
      <c r="R32" s="1" t="s">
        <v>4</v>
      </c>
      <c r="S32" s="1" t="s">
        <v>5</v>
      </c>
    </row>
    <row r="33" spans="1:19" ht="19.5" customHeight="1" x14ac:dyDescent="0.25">
      <c r="A33" s="1"/>
      <c r="B33" s="1"/>
      <c r="C33" s="1"/>
      <c r="D33" s="3"/>
      <c r="E33" s="3"/>
      <c r="F33" s="3"/>
      <c r="G33" s="3"/>
      <c r="H33" s="3"/>
      <c r="I33" s="3"/>
      <c r="J33" s="50"/>
      <c r="K33" s="50"/>
      <c r="L33" s="50"/>
      <c r="M33" s="50"/>
      <c r="N33" s="50"/>
      <c r="O33" s="50"/>
      <c r="P33" s="71">
        <v>1.83</v>
      </c>
      <c r="Q33" s="5" t="s">
        <v>8</v>
      </c>
      <c r="R33" s="1"/>
      <c r="S33" s="1"/>
    </row>
    <row r="34" spans="1:19" x14ac:dyDescent="0.25">
      <c r="A34" s="1"/>
      <c r="B34" s="1"/>
      <c r="C34" s="1"/>
      <c r="D34" s="6" t="s">
        <v>9</v>
      </c>
      <c r="E34" s="6" t="s">
        <v>10</v>
      </c>
      <c r="F34" s="6" t="s">
        <v>11</v>
      </c>
      <c r="G34" s="6" t="s">
        <v>12</v>
      </c>
      <c r="H34" s="6" t="s">
        <v>13</v>
      </c>
      <c r="I34" s="6" t="s">
        <v>14</v>
      </c>
      <c r="J34" s="6" t="s">
        <v>15</v>
      </c>
      <c r="K34" s="6" t="s">
        <v>16</v>
      </c>
      <c r="L34" s="6" t="s">
        <v>17</v>
      </c>
      <c r="M34" s="6" t="s">
        <v>18</v>
      </c>
      <c r="N34" s="6" t="s">
        <v>19</v>
      </c>
      <c r="O34" s="6" t="s">
        <v>20</v>
      </c>
      <c r="P34" s="6" t="s">
        <v>21</v>
      </c>
      <c r="Q34" s="6" t="s">
        <v>22</v>
      </c>
      <c r="R34" s="1"/>
      <c r="S34" s="1"/>
    </row>
    <row r="35" spans="1:19" ht="210.75" customHeight="1" x14ac:dyDescent="0.25">
      <c r="A35" s="72" t="s">
        <v>54</v>
      </c>
      <c r="B35" s="15" t="s">
        <v>55</v>
      </c>
      <c r="C35" s="9" t="s">
        <v>56</v>
      </c>
      <c r="D35" s="73">
        <v>0.9</v>
      </c>
      <c r="E35" s="73">
        <v>0.9</v>
      </c>
      <c r="F35" s="74">
        <f>(80%*1)+(20%*(90%*63%))</f>
        <v>0.9134000000000001</v>
      </c>
      <c r="G35" s="74">
        <v>0.94899999999999995</v>
      </c>
      <c r="H35" s="74">
        <v>0.95299999999999996</v>
      </c>
      <c r="I35" s="75">
        <v>0.95699999999999996</v>
      </c>
      <c r="J35" s="76"/>
      <c r="K35" s="76"/>
      <c r="L35" s="77">
        <v>0.96</v>
      </c>
      <c r="M35" s="77"/>
      <c r="N35" s="77"/>
      <c r="O35" s="78"/>
      <c r="P35" s="79">
        <f>L35+L36</f>
        <v>1.95</v>
      </c>
      <c r="Q35" s="80">
        <f>+P35-183%+4%</f>
        <v>0.15999999999999989</v>
      </c>
      <c r="R35" s="35" t="s">
        <v>57</v>
      </c>
      <c r="S35" s="35" t="s">
        <v>58</v>
      </c>
    </row>
    <row r="36" spans="1:19" ht="88.5" customHeight="1" x14ac:dyDescent="0.25">
      <c r="A36" s="72"/>
      <c r="B36" s="15"/>
      <c r="C36" s="81" t="s">
        <v>59</v>
      </c>
      <c r="D36" s="73">
        <v>0.93</v>
      </c>
      <c r="E36" s="74">
        <v>0.93</v>
      </c>
      <c r="F36" s="82">
        <f>+(75%*1)+
(15%*85.97%)+(10%*(81.1%))</f>
        <v>0.96005499999999988</v>
      </c>
      <c r="G36" s="82">
        <v>0.96009999999999995</v>
      </c>
      <c r="H36" s="83">
        <v>0.96660000000000001</v>
      </c>
      <c r="I36" s="84">
        <v>0.97240000000000004</v>
      </c>
      <c r="J36" s="84">
        <v>0.97240000000000004</v>
      </c>
      <c r="K36" s="84">
        <v>0.97240000000000004</v>
      </c>
      <c r="L36" s="77">
        <v>0.99</v>
      </c>
      <c r="M36" s="77"/>
      <c r="N36" s="77"/>
      <c r="O36" s="78"/>
      <c r="P36" s="79"/>
      <c r="Q36" s="85"/>
      <c r="R36" s="35"/>
      <c r="S36" s="35"/>
    </row>
    <row r="37" spans="1:19" x14ac:dyDescent="0.25">
      <c r="A37" s="72"/>
      <c r="B37" s="1" t="s">
        <v>1</v>
      </c>
      <c r="C37" s="1" t="s">
        <v>43</v>
      </c>
      <c r="D37" s="69" t="s">
        <v>60</v>
      </c>
      <c r="E37" s="69"/>
      <c r="F37" s="69"/>
      <c r="G37" s="69"/>
      <c r="H37" s="69"/>
      <c r="I37" s="69"/>
      <c r="J37" s="69"/>
      <c r="K37" s="69"/>
      <c r="L37" s="69"/>
      <c r="M37" s="69"/>
      <c r="N37" s="69"/>
      <c r="O37" s="69"/>
      <c r="P37" s="69"/>
      <c r="Q37" s="70"/>
      <c r="R37" s="1" t="s">
        <v>4</v>
      </c>
      <c r="S37" s="1" t="s">
        <v>5</v>
      </c>
    </row>
    <row r="38" spans="1:19" ht="25.5" x14ac:dyDescent="0.25">
      <c r="A38" s="72"/>
      <c r="B38" s="1"/>
      <c r="C38" s="1"/>
      <c r="D38" s="6" t="s">
        <v>9</v>
      </c>
      <c r="E38" s="6" t="s">
        <v>10</v>
      </c>
      <c r="F38" s="6" t="s">
        <v>11</v>
      </c>
      <c r="G38" s="6" t="s">
        <v>12</v>
      </c>
      <c r="H38" s="6" t="s">
        <v>13</v>
      </c>
      <c r="I38" s="6" t="s">
        <v>14</v>
      </c>
      <c r="J38" s="6" t="s">
        <v>15</v>
      </c>
      <c r="K38" s="6" t="s">
        <v>16</v>
      </c>
      <c r="L38" s="6" t="s">
        <v>17</v>
      </c>
      <c r="M38" s="6" t="s">
        <v>18</v>
      </c>
      <c r="N38" s="6" t="s">
        <v>19</v>
      </c>
      <c r="O38" s="6" t="s">
        <v>20</v>
      </c>
      <c r="P38" s="6" t="s">
        <v>21</v>
      </c>
      <c r="Q38" s="86" t="s">
        <v>61</v>
      </c>
      <c r="R38" s="1"/>
      <c r="S38" s="1"/>
    </row>
    <row r="39" spans="1:19" ht="240" customHeight="1" x14ac:dyDescent="0.25">
      <c r="A39" s="72"/>
      <c r="B39" s="87" t="s">
        <v>62</v>
      </c>
      <c r="C39" s="9" t="s">
        <v>63</v>
      </c>
      <c r="D39" s="88">
        <v>0</v>
      </c>
      <c r="E39" s="88">
        <v>0</v>
      </c>
      <c r="F39" s="89">
        <v>0</v>
      </c>
      <c r="G39" s="90"/>
      <c r="H39" s="90"/>
      <c r="I39" s="10">
        <v>3</v>
      </c>
      <c r="J39" s="90"/>
      <c r="K39" s="90"/>
      <c r="L39" s="91">
        <v>10</v>
      </c>
      <c r="M39" s="90"/>
      <c r="N39" s="90"/>
      <c r="O39" s="11"/>
      <c r="P39" s="92">
        <f>L39</f>
        <v>10</v>
      </c>
      <c r="Q39" s="93">
        <f>+P39/11</f>
        <v>0.90909090909090906</v>
      </c>
      <c r="R39" s="87" t="s">
        <v>64</v>
      </c>
      <c r="S39" s="94" t="s">
        <v>65</v>
      </c>
    </row>
    <row r="40" spans="1:19" x14ac:dyDescent="0.25">
      <c r="A40" s="72"/>
      <c r="B40" s="1" t="s">
        <v>1</v>
      </c>
      <c r="C40" s="1" t="s">
        <v>43</v>
      </c>
      <c r="D40" s="69" t="s">
        <v>66</v>
      </c>
      <c r="E40" s="69"/>
      <c r="F40" s="69"/>
      <c r="G40" s="69"/>
      <c r="H40" s="69"/>
      <c r="I40" s="69"/>
      <c r="J40" s="69"/>
      <c r="K40" s="69"/>
      <c r="L40" s="69"/>
      <c r="M40" s="69"/>
      <c r="N40" s="69"/>
      <c r="O40" s="69"/>
      <c r="P40" s="69"/>
      <c r="Q40" s="70"/>
      <c r="R40" s="1" t="s">
        <v>4</v>
      </c>
      <c r="S40" s="1" t="s">
        <v>5</v>
      </c>
    </row>
    <row r="41" spans="1:19" x14ac:dyDescent="0.25">
      <c r="A41" s="72"/>
      <c r="B41" s="1"/>
      <c r="C41" s="1"/>
      <c r="D41" s="6" t="s">
        <v>9</v>
      </c>
      <c r="E41" s="6" t="s">
        <v>10</v>
      </c>
      <c r="F41" s="6" t="s">
        <v>11</v>
      </c>
      <c r="G41" s="6" t="s">
        <v>12</v>
      </c>
      <c r="H41" s="6" t="s">
        <v>13</v>
      </c>
      <c r="I41" s="6" t="s">
        <v>14</v>
      </c>
      <c r="J41" s="6" t="s">
        <v>15</v>
      </c>
      <c r="K41" s="6" t="s">
        <v>16</v>
      </c>
      <c r="L41" s="6" t="s">
        <v>17</v>
      </c>
      <c r="M41" s="6" t="s">
        <v>18</v>
      </c>
      <c r="N41" s="6" t="s">
        <v>19</v>
      </c>
      <c r="O41" s="6" t="s">
        <v>20</v>
      </c>
      <c r="P41" s="6" t="s">
        <v>21</v>
      </c>
      <c r="Q41" s="6" t="s">
        <v>22</v>
      </c>
      <c r="R41" s="1"/>
      <c r="S41" s="1"/>
    </row>
    <row r="42" spans="1:19" ht="207.75" customHeight="1" x14ac:dyDescent="0.25">
      <c r="A42" s="72"/>
      <c r="B42" s="87" t="s">
        <v>67</v>
      </c>
      <c r="C42" s="9" t="s">
        <v>63</v>
      </c>
      <c r="D42" s="95">
        <v>0</v>
      </c>
      <c r="E42" s="95">
        <v>0</v>
      </c>
      <c r="F42" s="96">
        <v>0.09</v>
      </c>
      <c r="G42" s="97">
        <v>0</v>
      </c>
      <c r="H42" s="98"/>
      <c r="I42" s="9">
        <v>0.51</v>
      </c>
      <c r="J42" s="98"/>
      <c r="K42" s="98"/>
      <c r="L42" s="99">
        <v>0.72</v>
      </c>
      <c r="M42" s="98"/>
      <c r="N42" s="98"/>
      <c r="O42" s="100"/>
      <c r="P42" s="101">
        <f>L42</f>
        <v>0.72</v>
      </c>
      <c r="Q42" s="102">
        <f>+L42/1</f>
        <v>0.72</v>
      </c>
      <c r="R42" s="87" t="s">
        <v>68</v>
      </c>
      <c r="S42" s="68" t="s">
        <v>65</v>
      </c>
    </row>
    <row r="43" spans="1:19" ht="15" customHeight="1" x14ac:dyDescent="0.25">
      <c r="A43" s="1" t="s">
        <v>0</v>
      </c>
      <c r="B43" s="1" t="s">
        <v>1</v>
      </c>
      <c r="C43" s="1" t="s">
        <v>43</v>
      </c>
      <c r="D43" s="103" t="s">
        <v>69</v>
      </c>
      <c r="E43" s="103"/>
      <c r="F43" s="103"/>
      <c r="G43" s="103"/>
      <c r="H43" s="103"/>
      <c r="I43" s="103"/>
      <c r="J43" s="103"/>
      <c r="K43" s="103"/>
      <c r="L43" s="103"/>
      <c r="M43" s="103"/>
      <c r="N43" s="103"/>
      <c r="O43" s="103"/>
      <c r="P43" s="103"/>
      <c r="Q43" s="103"/>
      <c r="R43" s="1" t="s">
        <v>4</v>
      </c>
      <c r="S43" s="1" t="s">
        <v>5</v>
      </c>
    </row>
    <row r="44" spans="1:19" ht="25.5" x14ac:dyDescent="0.25">
      <c r="A44" s="1"/>
      <c r="B44" s="1"/>
      <c r="C44" s="1"/>
      <c r="D44" s="6" t="s">
        <v>9</v>
      </c>
      <c r="E44" s="6" t="s">
        <v>10</v>
      </c>
      <c r="F44" s="6" t="s">
        <v>11</v>
      </c>
      <c r="G44" s="6" t="s">
        <v>12</v>
      </c>
      <c r="H44" s="6" t="s">
        <v>13</v>
      </c>
      <c r="I44" s="6" t="s">
        <v>14</v>
      </c>
      <c r="J44" s="6" t="s">
        <v>15</v>
      </c>
      <c r="K44" s="6" t="s">
        <v>16</v>
      </c>
      <c r="L44" s="6" t="s">
        <v>17</v>
      </c>
      <c r="M44" s="6" t="s">
        <v>18</v>
      </c>
      <c r="N44" s="6" t="s">
        <v>19</v>
      </c>
      <c r="O44" s="6" t="s">
        <v>20</v>
      </c>
      <c r="P44" s="6" t="s">
        <v>21</v>
      </c>
      <c r="Q44" s="86" t="s">
        <v>61</v>
      </c>
      <c r="R44" s="1"/>
      <c r="S44" s="1"/>
    </row>
    <row r="45" spans="1:19" ht="242.25" customHeight="1" x14ac:dyDescent="0.25">
      <c r="A45" s="104" t="s">
        <v>70</v>
      </c>
      <c r="B45" s="9" t="s">
        <v>71</v>
      </c>
      <c r="C45" s="9" t="s">
        <v>72</v>
      </c>
      <c r="D45" s="105">
        <v>0</v>
      </c>
      <c r="E45" s="105">
        <v>0</v>
      </c>
      <c r="F45" s="11">
        <v>6</v>
      </c>
      <c r="G45" s="105"/>
      <c r="H45" s="106"/>
      <c r="I45" s="9">
        <v>6</v>
      </c>
      <c r="J45" s="106"/>
      <c r="K45" s="106"/>
      <c r="L45" s="107">
        <v>6</v>
      </c>
      <c r="M45" s="106"/>
      <c r="N45" s="106"/>
      <c r="O45" s="107"/>
      <c r="P45" s="92">
        <f>+F45</f>
        <v>6</v>
      </c>
      <c r="Q45" s="93">
        <f>+P45/6</f>
        <v>1</v>
      </c>
      <c r="R45" s="87" t="s">
        <v>73</v>
      </c>
      <c r="S45" s="68" t="s">
        <v>74</v>
      </c>
    </row>
    <row r="46" spans="1:19" x14ac:dyDescent="0.25">
      <c r="A46" s="104"/>
      <c r="B46" s="1" t="s">
        <v>1</v>
      </c>
      <c r="C46" s="1" t="s">
        <v>43</v>
      </c>
      <c r="D46" s="103" t="s">
        <v>75</v>
      </c>
      <c r="E46" s="103"/>
      <c r="F46" s="103"/>
      <c r="G46" s="103"/>
      <c r="H46" s="103"/>
      <c r="I46" s="103"/>
      <c r="J46" s="103"/>
      <c r="K46" s="103"/>
      <c r="L46" s="103"/>
      <c r="M46" s="103"/>
      <c r="N46" s="103"/>
      <c r="O46" s="103"/>
      <c r="P46" s="103"/>
      <c r="Q46" s="103"/>
      <c r="R46" s="1" t="s">
        <v>4</v>
      </c>
      <c r="S46" s="1" t="s">
        <v>5</v>
      </c>
    </row>
    <row r="47" spans="1:19" ht="15" customHeight="1" x14ac:dyDescent="0.25">
      <c r="A47" s="104"/>
      <c r="B47" s="1"/>
      <c r="C47" s="1"/>
      <c r="D47" s="108">
        <v>1377771</v>
      </c>
      <c r="E47" s="108">
        <v>1419263</v>
      </c>
      <c r="F47" s="108">
        <v>1445252</v>
      </c>
      <c r="G47" s="108">
        <v>1445332</v>
      </c>
      <c r="H47" s="108">
        <v>1505203</v>
      </c>
      <c r="I47" s="108">
        <v>0</v>
      </c>
      <c r="J47" s="108">
        <v>0</v>
      </c>
      <c r="K47" s="108">
        <v>0</v>
      </c>
      <c r="L47" s="108">
        <v>1200000</v>
      </c>
      <c r="M47" s="108">
        <v>0</v>
      </c>
      <c r="N47" s="108">
        <v>1450000</v>
      </c>
      <c r="O47" s="108">
        <v>1528556</v>
      </c>
      <c r="P47" s="108">
        <v>1528556</v>
      </c>
      <c r="Q47" s="109" t="s">
        <v>6</v>
      </c>
      <c r="R47" s="1"/>
      <c r="S47" s="1"/>
    </row>
    <row r="48" spans="1:19" ht="15" customHeight="1" x14ac:dyDescent="0.25">
      <c r="A48" s="104"/>
      <c r="B48" s="1"/>
      <c r="C48" s="1"/>
      <c r="D48" s="108">
        <v>0</v>
      </c>
      <c r="E48" s="108">
        <v>0</v>
      </c>
      <c r="F48" s="108">
        <v>1368770</v>
      </c>
      <c r="G48" s="108">
        <v>1375780</v>
      </c>
      <c r="H48" s="108">
        <v>1297372</v>
      </c>
      <c r="I48" s="108">
        <v>1329425</v>
      </c>
      <c r="J48" s="108">
        <v>1329425</v>
      </c>
      <c r="K48" s="108">
        <v>1329425</v>
      </c>
      <c r="L48" s="108">
        <v>1344770</v>
      </c>
      <c r="M48" s="108">
        <v>1433653</v>
      </c>
      <c r="N48" s="108">
        <v>1446077</v>
      </c>
      <c r="O48" s="108">
        <v>1451952</v>
      </c>
      <c r="P48" s="108">
        <v>1451952</v>
      </c>
      <c r="Q48" s="109" t="s">
        <v>7</v>
      </c>
      <c r="R48" s="1"/>
      <c r="S48" s="1"/>
    </row>
    <row r="49" spans="1:19" ht="15" customHeight="1" x14ac:dyDescent="0.25">
      <c r="A49" s="104"/>
      <c r="B49" s="1"/>
      <c r="C49" s="1"/>
      <c r="D49" s="108">
        <v>1455237</v>
      </c>
      <c r="E49" s="108">
        <v>1466753</v>
      </c>
      <c r="F49" s="108">
        <v>1468819</v>
      </c>
      <c r="G49" s="108">
        <v>1486471</v>
      </c>
      <c r="H49" s="108">
        <v>1502456</v>
      </c>
      <c r="I49" s="108">
        <v>1513043</v>
      </c>
      <c r="J49" s="108"/>
      <c r="K49" s="108"/>
      <c r="L49" s="108">
        <v>1597020</v>
      </c>
      <c r="M49" s="108"/>
      <c r="N49" s="108"/>
      <c r="O49" s="108">
        <v>1628066</v>
      </c>
      <c r="P49" s="108">
        <v>1628066</v>
      </c>
      <c r="Q49" s="109" t="s">
        <v>8</v>
      </c>
      <c r="R49" s="1"/>
      <c r="S49" s="1"/>
    </row>
    <row r="50" spans="1:19" ht="25.5" x14ac:dyDescent="0.25">
      <c r="A50" s="104"/>
      <c r="B50" s="1"/>
      <c r="C50" s="1"/>
      <c r="D50" s="6" t="s">
        <v>9</v>
      </c>
      <c r="E50" s="6" t="s">
        <v>10</v>
      </c>
      <c r="F50" s="6" t="s">
        <v>11</v>
      </c>
      <c r="G50" s="6" t="s">
        <v>12</v>
      </c>
      <c r="H50" s="6" t="s">
        <v>13</v>
      </c>
      <c r="I50" s="6" t="s">
        <v>14</v>
      </c>
      <c r="J50" s="6" t="s">
        <v>15</v>
      </c>
      <c r="K50" s="6" t="s">
        <v>16</v>
      </c>
      <c r="L50" s="6" t="s">
        <v>17</v>
      </c>
      <c r="M50" s="6" t="s">
        <v>18</v>
      </c>
      <c r="N50" s="6" t="s">
        <v>19</v>
      </c>
      <c r="O50" s="6" t="s">
        <v>20</v>
      </c>
      <c r="P50" s="6" t="s">
        <v>21</v>
      </c>
      <c r="Q50" s="86" t="s">
        <v>61</v>
      </c>
      <c r="R50" s="1"/>
      <c r="S50" s="1"/>
    </row>
    <row r="51" spans="1:19" ht="234.75" customHeight="1" x14ac:dyDescent="0.25">
      <c r="A51" s="104"/>
      <c r="B51" s="87" t="s">
        <v>76</v>
      </c>
      <c r="C51" s="9" t="s">
        <v>77</v>
      </c>
      <c r="D51" s="11">
        <v>1638688</v>
      </c>
      <c r="E51" s="11">
        <v>1645263</v>
      </c>
      <c r="F51" s="11">
        <v>1655986</v>
      </c>
      <c r="G51" s="110">
        <v>1682584</v>
      </c>
      <c r="H51" s="110">
        <v>1701312</v>
      </c>
      <c r="I51" s="110">
        <v>1756243</v>
      </c>
      <c r="J51" s="110">
        <v>1798087</v>
      </c>
      <c r="K51" s="110">
        <v>1820385</v>
      </c>
      <c r="L51" s="111">
        <v>1847213</v>
      </c>
      <c r="M51" s="112"/>
      <c r="N51" s="112"/>
      <c r="O51" s="111"/>
      <c r="P51" s="113">
        <f>+K51</f>
        <v>1820385</v>
      </c>
      <c r="Q51" s="114">
        <f>+P51/1720000</f>
        <v>1.0583633720930232</v>
      </c>
      <c r="R51" s="115" t="s">
        <v>78</v>
      </c>
      <c r="S51" s="115" t="s">
        <v>74</v>
      </c>
    </row>
    <row r="52" spans="1:19" x14ac:dyDescent="0.25">
      <c r="A52" s="104"/>
      <c r="B52" s="1" t="s">
        <v>1</v>
      </c>
      <c r="C52" s="1" t="s">
        <v>43</v>
      </c>
      <c r="D52" s="103" t="s">
        <v>79</v>
      </c>
      <c r="E52" s="103"/>
      <c r="F52" s="103"/>
      <c r="G52" s="103"/>
      <c r="H52" s="103"/>
      <c r="I52" s="103"/>
      <c r="J52" s="103"/>
      <c r="K52" s="103"/>
      <c r="L52" s="103"/>
      <c r="M52" s="103"/>
      <c r="N52" s="103"/>
      <c r="O52" s="103"/>
      <c r="P52" s="103"/>
      <c r="Q52" s="103"/>
      <c r="R52" s="1" t="s">
        <v>4</v>
      </c>
      <c r="S52" s="1" t="s">
        <v>5</v>
      </c>
    </row>
    <row r="53" spans="1:19" ht="15" customHeight="1" x14ac:dyDescent="0.25">
      <c r="A53" s="104"/>
      <c r="B53" s="1"/>
      <c r="C53" s="1"/>
      <c r="D53" s="116">
        <v>7</v>
      </c>
      <c r="E53" s="116">
        <f>+D53+80</f>
        <v>87</v>
      </c>
      <c r="F53" s="116">
        <f>+E53+37</f>
        <v>124</v>
      </c>
      <c r="G53" s="116">
        <f>+F53+166</f>
        <v>290</v>
      </c>
      <c r="H53" s="116">
        <f>+G53+190</f>
        <v>480</v>
      </c>
      <c r="I53" s="108">
        <v>0</v>
      </c>
      <c r="J53" s="108">
        <v>0</v>
      </c>
      <c r="K53" s="108">
        <v>0</v>
      </c>
      <c r="L53" s="108">
        <v>1000</v>
      </c>
      <c r="M53" s="108">
        <v>0</v>
      </c>
      <c r="N53" s="108">
        <v>1672</v>
      </c>
      <c r="O53" s="108">
        <v>2035</v>
      </c>
      <c r="P53" s="108">
        <f>+O53</f>
        <v>2035</v>
      </c>
      <c r="Q53" s="109" t="s">
        <v>6</v>
      </c>
      <c r="R53" s="1"/>
      <c r="S53" s="1"/>
    </row>
    <row r="54" spans="1:19" ht="15" customHeight="1" x14ac:dyDescent="0.25">
      <c r="A54" s="104"/>
      <c r="B54" s="1"/>
      <c r="C54" s="1"/>
      <c r="D54" s="116">
        <v>0</v>
      </c>
      <c r="E54" s="116">
        <v>0</v>
      </c>
      <c r="F54" s="116">
        <v>446</v>
      </c>
      <c r="G54" s="116">
        <v>685</v>
      </c>
      <c r="H54" s="116">
        <v>1126</v>
      </c>
      <c r="I54" s="108">
        <v>1551</v>
      </c>
      <c r="J54" s="108">
        <v>1551</v>
      </c>
      <c r="K54" s="108">
        <v>1551</v>
      </c>
      <c r="L54" s="108">
        <v>2997</v>
      </c>
      <c r="M54" s="108">
        <v>2997</v>
      </c>
      <c r="N54" s="108">
        <v>2997</v>
      </c>
      <c r="O54" s="108">
        <v>3169</v>
      </c>
      <c r="P54" s="108">
        <v>3169</v>
      </c>
      <c r="Q54" s="109" t="s">
        <v>7</v>
      </c>
      <c r="R54" s="1"/>
      <c r="S54" s="1"/>
    </row>
    <row r="55" spans="1:19" x14ac:dyDescent="0.25">
      <c r="A55" s="104"/>
      <c r="B55" s="1"/>
      <c r="C55" s="1"/>
      <c r="D55" s="116">
        <v>166</v>
      </c>
      <c r="E55" s="116">
        <v>318</v>
      </c>
      <c r="F55" s="116">
        <v>558</v>
      </c>
      <c r="G55" s="116">
        <v>887</v>
      </c>
      <c r="H55" s="116">
        <v>1171</v>
      </c>
      <c r="I55" s="108">
        <v>1427</v>
      </c>
      <c r="J55" s="108"/>
      <c r="K55" s="108"/>
      <c r="L55" s="108">
        <v>2717</v>
      </c>
      <c r="M55" s="108"/>
      <c r="N55" s="108"/>
      <c r="O55" s="108">
        <v>3737</v>
      </c>
      <c r="P55" s="108">
        <v>3737</v>
      </c>
      <c r="Q55" s="109"/>
      <c r="R55" s="1"/>
      <c r="S55" s="1"/>
    </row>
    <row r="56" spans="1:19" ht="27" customHeight="1" x14ac:dyDescent="0.25">
      <c r="A56" s="104"/>
      <c r="B56" s="1"/>
      <c r="C56" s="1"/>
      <c r="D56" s="6" t="s">
        <v>9</v>
      </c>
      <c r="E56" s="6" t="s">
        <v>10</v>
      </c>
      <c r="F56" s="6" t="s">
        <v>11</v>
      </c>
      <c r="G56" s="6" t="s">
        <v>12</v>
      </c>
      <c r="H56" s="6" t="s">
        <v>13</v>
      </c>
      <c r="I56" s="6" t="s">
        <v>14</v>
      </c>
      <c r="J56" s="6" t="s">
        <v>15</v>
      </c>
      <c r="K56" s="6" t="s">
        <v>16</v>
      </c>
      <c r="L56" s="6" t="s">
        <v>17</v>
      </c>
      <c r="M56" s="6" t="s">
        <v>18</v>
      </c>
      <c r="N56" s="6" t="s">
        <v>19</v>
      </c>
      <c r="O56" s="6" t="s">
        <v>20</v>
      </c>
      <c r="P56" s="6" t="s">
        <v>21</v>
      </c>
      <c r="Q56" s="86" t="s">
        <v>61</v>
      </c>
      <c r="R56" s="1"/>
      <c r="S56" s="1"/>
    </row>
    <row r="57" spans="1:19" ht="222.75" customHeight="1" x14ac:dyDescent="0.25">
      <c r="A57" s="104"/>
      <c r="B57" s="87" t="s">
        <v>80</v>
      </c>
      <c r="C57" s="9" t="s">
        <v>77</v>
      </c>
      <c r="D57" s="11">
        <v>76</v>
      </c>
      <c r="E57" s="11">
        <v>253</v>
      </c>
      <c r="F57" s="11">
        <v>477</v>
      </c>
      <c r="G57" s="110">
        <v>613</v>
      </c>
      <c r="H57" s="110">
        <v>403</v>
      </c>
      <c r="I57" s="110">
        <v>1313</v>
      </c>
      <c r="J57" s="110">
        <v>1021</v>
      </c>
      <c r="K57" s="110">
        <v>509</v>
      </c>
      <c r="L57" s="111">
        <v>1969</v>
      </c>
      <c r="M57" s="117"/>
      <c r="N57" s="117"/>
      <c r="O57" s="107"/>
      <c r="P57" s="113">
        <f>SUM(D57:O57)</f>
        <v>6634</v>
      </c>
      <c r="Q57" s="114">
        <f>+P57/3500</f>
        <v>1.8954285714285715</v>
      </c>
      <c r="R57" s="115" t="s">
        <v>81</v>
      </c>
      <c r="S57" s="115" t="s">
        <v>74</v>
      </c>
    </row>
    <row r="58" spans="1:19" x14ac:dyDescent="0.25">
      <c r="A58" s="104"/>
      <c r="B58" s="1" t="s">
        <v>1</v>
      </c>
      <c r="C58" s="1" t="s">
        <v>43</v>
      </c>
      <c r="D58" s="103" t="s">
        <v>82</v>
      </c>
      <c r="E58" s="103"/>
      <c r="F58" s="103"/>
      <c r="G58" s="103"/>
      <c r="H58" s="103"/>
      <c r="I58" s="103"/>
      <c r="J58" s="103"/>
      <c r="K58" s="103"/>
      <c r="L58" s="103"/>
      <c r="M58" s="103"/>
      <c r="N58" s="103"/>
      <c r="O58" s="103"/>
      <c r="P58" s="103"/>
      <c r="Q58" s="103"/>
      <c r="R58" s="1" t="s">
        <v>4</v>
      </c>
      <c r="S58" s="1" t="s">
        <v>5</v>
      </c>
    </row>
    <row r="59" spans="1:19" x14ac:dyDescent="0.25">
      <c r="A59" s="104"/>
      <c r="B59" s="1"/>
      <c r="C59" s="1"/>
      <c r="D59" s="6" t="s">
        <v>9</v>
      </c>
      <c r="E59" s="6" t="s">
        <v>10</v>
      </c>
      <c r="F59" s="6" t="s">
        <v>11</v>
      </c>
      <c r="G59" s="6" t="s">
        <v>12</v>
      </c>
      <c r="H59" s="6" t="s">
        <v>13</v>
      </c>
      <c r="I59" s="6" t="s">
        <v>14</v>
      </c>
      <c r="J59" s="6" t="s">
        <v>15</v>
      </c>
      <c r="K59" s="6" t="s">
        <v>16</v>
      </c>
      <c r="L59" s="6" t="s">
        <v>17</v>
      </c>
      <c r="M59" s="6" t="s">
        <v>18</v>
      </c>
      <c r="N59" s="6" t="s">
        <v>19</v>
      </c>
      <c r="O59" s="6" t="s">
        <v>20</v>
      </c>
      <c r="P59" s="6" t="s">
        <v>21</v>
      </c>
      <c r="Q59" s="6" t="s">
        <v>22</v>
      </c>
      <c r="R59" s="1"/>
      <c r="S59" s="1"/>
    </row>
    <row r="60" spans="1:19" ht="225.75" customHeight="1" x14ac:dyDescent="0.25">
      <c r="A60" s="104"/>
      <c r="B60" s="87" t="s">
        <v>83</v>
      </c>
      <c r="C60" s="9" t="s">
        <v>84</v>
      </c>
      <c r="D60" s="118"/>
      <c r="E60" s="118"/>
      <c r="F60" s="119" t="s">
        <v>85</v>
      </c>
      <c r="G60" s="120"/>
      <c r="H60" s="120"/>
      <c r="I60" s="117">
        <v>0.374</v>
      </c>
      <c r="J60" s="120"/>
      <c r="K60" s="120"/>
      <c r="L60" s="117">
        <v>0.71</v>
      </c>
      <c r="M60" s="120"/>
      <c r="N60" s="120"/>
      <c r="O60" s="121"/>
      <c r="P60" s="122">
        <f>+I60</f>
        <v>0.374</v>
      </c>
      <c r="Q60" s="114">
        <f>+I60</f>
        <v>0.374</v>
      </c>
      <c r="R60" s="115" t="s">
        <v>86</v>
      </c>
      <c r="S60" s="115" t="s">
        <v>74</v>
      </c>
    </row>
    <row r="61" spans="1:19" x14ac:dyDescent="0.25">
      <c r="A61" s="1" t="s">
        <v>0</v>
      </c>
      <c r="B61" s="1" t="s">
        <v>1</v>
      </c>
      <c r="C61" s="1" t="s">
        <v>43</v>
      </c>
      <c r="D61" s="123" t="s">
        <v>87</v>
      </c>
      <c r="E61" s="123"/>
      <c r="F61" s="123"/>
      <c r="G61" s="123"/>
      <c r="H61" s="123"/>
      <c r="I61" s="123"/>
      <c r="J61" s="123"/>
      <c r="K61" s="123"/>
      <c r="L61" s="123"/>
      <c r="M61" s="123"/>
      <c r="N61" s="123"/>
      <c r="O61" s="123"/>
      <c r="P61" s="123"/>
      <c r="Q61" s="124"/>
      <c r="R61" s="1" t="s">
        <v>4</v>
      </c>
      <c r="S61" s="1" t="s">
        <v>5</v>
      </c>
    </row>
    <row r="62" spans="1:19" x14ac:dyDescent="0.25">
      <c r="A62" s="1"/>
      <c r="B62" s="1"/>
      <c r="C62" s="1"/>
      <c r="D62" s="124">
        <v>10</v>
      </c>
      <c r="E62" s="124">
        <v>10</v>
      </c>
      <c r="F62" s="124">
        <v>10</v>
      </c>
      <c r="G62" s="124">
        <v>10</v>
      </c>
      <c r="H62" s="124">
        <v>10</v>
      </c>
      <c r="I62" s="124">
        <v>10</v>
      </c>
      <c r="J62" s="124">
        <v>10</v>
      </c>
      <c r="K62" s="124">
        <v>10</v>
      </c>
      <c r="L62" s="124">
        <v>10</v>
      </c>
      <c r="M62" s="124">
        <v>10</v>
      </c>
      <c r="N62" s="124">
        <v>10</v>
      </c>
      <c r="O62" s="124">
        <v>10</v>
      </c>
      <c r="P62" s="124"/>
      <c r="Q62" s="124" t="s">
        <v>88</v>
      </c>
      <c r="R62" s="1"/>
      <c r="S62" s="1"/>
    </row>
    <row r="63" spans="1:19" x14ac:dyDescent="0.25">
      <c r="A63" s="1"/>
      <c r="B63" s="1"/>
      <c r="C63" s="1"/>
      <c r="D63" s="124"/>
      <c r="E63" s="124"/>
      <c r="F63" s="124">
        <v>2</v>
      </c>
      <c r="G63" s="124"/>
      <c r="H63" s="124"/>
      <c r="I63" s="124">
        <v>6</v>
      </c>
      <c r="J63" s="124"/>
      <c r="K63" s="124"/>
      <c r="L63" s="124">
        <v>8</v>
      </c>
      <c r="M63" s="124"/>
      <c r="N63" s="124"/>
      <c r="O63" s="124">
        <v>10</v>
      </c>
      <c r="P63" s="124">
        <v>10</v>
      </c>
      <c r="Q63" s="125" t="s">
        <v>8</v>
      </c>
      <c r="R63" s="1"/>
      <c r="S63" s="1"/>
    </row>
    <row r="64" spans="1:19" x14ac:dyDescent="0.25">
      <c r="A64" s="1"/>
      <c r="B64" s="1"/>
      <c r="C64" s="1"/>
      <c r="D64" s="6" t="s">
        <v>9</v>
      </c>
      <c r="E64" s="6" t="s">
        <v>10</v>
      </c>
      <c r="F64" s="6" t="s">
        <v>11</v>
      </c>
      <c r="G64" s="6" t="s">
        <v>12</v>
      </c>
      <c r="H64" s="6" t="s">
        <v>13</v>
      </c>
      <c r="I64" s="6" t="s">
        <v>14</v>
      </c>
      <c r="J64" s="6" t="s">
        <v>15</v>
      </c>
      <c r="K64" s="6" t="s">
        <v>16</v>
      </c>
      <c r="L64" s="6" t="s">
        <v>17</v>
      </c>
      <c r="M64" s="6" t="s">
        <v>18</v>
      </c>
      <c r="N64" s="6" t="s">
        <v>19</v>
      </c>
      <c r="O64" s="6" t="s">
        <v>20</v>
      </c>
      <c r="P64" s="6" t="s">
        <v>21</v>
      </c>
      <c r="Q64" s="6" t="s">
        <v>22</v>
      </c>
      <c r="R64" s="1"/>
      <c r="S64" s="1"/>
    </row>
    <row r="65" spans="1:19" ht="409.5" customHeight="1" x14ac:dyDescent="0.25">
      <c r="A65" s="126" t="s">
        <v>89</v>
      </c>
      <c r="B65" s="9" t="s">
        <v>90</v>
      </c>
      <c r="C65" s="9" t="s">
        <v>91</v>
      </c>
      <c r="D65" s="127"/>
      <c r="E65" s="128"/>
      <c r="F65" s="10">
        <v>2</v>
      </c>
      <c r="G65" s="129"/>
      <c r="H65" s="129"/>
      <c r="I65" s="130">
        <v>5</v>
      </c>
      <c r="J65" s="129"/>
      <c r="K65" s="129"/>
      <c r="L65" s="131">
        <v>11</v>
      </c>
      <c r="M65" s="129"/>
      <c r="N65" s="129"/>
      <c r="O65" s="107"/>
      <c r="P65" s="132">
        <f>+L65</f>
        <v>11</v>
      </c>
      <c r="Q65" s="66">
        <f>+P65/11</f>
        <v>1</v>
      </c>
      <c r="R65" s="115" t="s">
        <v>92</v>
      </c>
      <c r="S65" s="115" t="s">
        <v>93</v>
      </c>
    </row>
    <row r="66" spans="1:19" x14ac:dyDescent="0.25">
      <c r="A66" s="126"/>
      <c r="B66" s="1" t="s">
        <v>1</v>
      </c>
      <c r="C66" s="1" t="s">
        <v>43</v>
      </c>
      <c r="D66" s="123" t="s">
        <v>94</v>
      </c>
      <c r="E66" s="123"/>
      <c r="F66" s="123"/>
      <c r="G66" s="123"/>
      <c r="H66" s="123"/>
      <c r="I66" s="123"/>
      <c r="J66" s="123"/>
      <c r="K66" s="123"/>
      <c r="L66" s="123"/>
      <c r="M66" s="123"/>
      <c r="N66" s="123"/>
      <c r="O66" s="123"/>
      <c r="P66" s="123"/>
      <c r="Q66" s="133"/>
      <c r="R66" s="1" t="s">
        <v>4</v>
      </c>
      <c r="S66" s="1" t="s">
        <v>5</v>
      </c>
    </row>
    <row r="67" spans="1:19" x14ac:dyDescent="0.25">
      <c r="A67" s="126"/>
      <c r="B67" s="1"/>
      <c r="C67" s="1"/>
      <c r="D67" s="124">
        <v>9</v>
      </c>
      <c r="E67" s="124">
        <v>9</v>
      </c>
      <c r="F67" s="124">
        <v>9</v>
      </c>
      <c r="G67" s="124">
        <v>9</v>
      </c>
      <c r="H67" s="124">
        <v>9</v>
      </c>
      <c r="I67" s="124">
        <v>9</v>
      </c>
      <c r="J67" s="124">
        <v>9</v>
      </c>
      <c r="K67" s="124">
        <v>9</v>
      </c>
      <c r="L67" s="124">
        <v>9</v>
      </c>
      <c r="M67" s="124">
        <v>9</v>
      </c>
      <c r="N67" s="124">
        <v>9</v>
      </c>
      <c r="O67" s="124">
        <v>9</v>
      </c>
      <c r="P67" s="124"/>
      <c r="Q67" s="134" t="s">
        <v>88</v>
      </c>
      <c r="R67" s="1"/>
      <c r="S67" s="1"/>
    </row>
    <row r="68" spans="1:19" ht="15" customHeight="1" x14ac:dyDescent="0.25">
      <c r="A68" s="126"/>
      <c r="B68" s="1"/>
      <c r="C68" s="1"/>
      <c r="D68" s="124"/>
      <c r="E68" s="124"/>
      <c r="F68" s="124">
        <v>2</v>
      </c>
      <c r="G68" s="124"/>
      <c r="H68" s="124"/>
      <c r="I68" s="124">
        <v>5</v>
      </c>
      <c r="J68" s="124"/>
      <c r="K68" s="124"/>
      <c r="L68" s="124">
        <v>6</v>
      </c>
      <c r="M68" s="124"/>
      <c r="N68" s="124"/>
      <c r="O68" s="124">
        <v>10</v>
      </c>
      <c r="P68" s="124">
        <v>10</v>
      </c>
      <c r="Q68" s="125" t="s">
        <v>8</v>
      </c>
      <c r="R68" s="1"/>
      <c r="S68" s="1"/>
    </row>
    <row r="69" spans="1:19" x14ac:dyDescent="0.25">
      <c r="A69" s="126"/>
      <c r="B69" s="1"/>
      <c r="C69" s="1"/>
      <c r="D69" s="6" t="s">
        <v>9</v>
      </c>
      <c r="E69" s="6" t="s">
        <v>10</v>
      </c>
      <c r="F69" s="6" t="s">
        <v>11</v>
      </c>
      <c r="G69" s="6" t="s">
        <v>12</v>
      </c>
      <c r="H69" s="6" t="s">
        <v>13</v>
      </c>
      <c r="I69" s="6" t="s">
        <v>14</v>
      </c>
      <c r="J69" s="6" t="s">
        <v>15</v>
      </c>
      <c r="K69" s="6" t="s">
        <v>16</v>
      </c>
      <c r="L69" s="6" t="s">
        <v>17</v>
      </c>
      <c r="M69" s="6" t="s">
        <v>18</v>
      </c>
      <c r="N69" s="6" t="s">
        <v>19</v>
      </c>
      <c r="O69" s="6" t="s">
        <v>20</v>
      </c>
      <c r="P69" s="6" t="s">
        <v>21</v>
      </c>
      <c r="Q69" s="6" t="s">
        <v>22</v>
      </c>
      <c r="R69" s="1"/>
      <c r="S69" s="1"/>
    </row>
    <row r="70" spans="1:19" ht="311.25" customHeight="1" x14ac:dyDescent="0.25">
      <c r="A70" s="126"/>
      <c r="B70" s="87" t="s">
        <v>95</v>
      </c>
      <c r="C70" s="9" t="s">
        <v>91</v>
      </c>
      <c r="D70" s="127"/>
      <c r="E70" s="127"/>
      <c r="F70" s="10">
        <v>3</v>
      </c>
      <c r="G70" s="129"/>
      <c r="H70" s="129"/>
      <c r="I70" s="130">
        <v>5</v>
      </c>
      <c r="J70" s="129"/>
      <c r="K70" s="129"/>
      <c r="L70" s="107">
        <v>9</v>
      </c>
      <c r="M70" s="129"/>
      <c r="N70" s="129"/>
      <c r="O70" s="107"/>
      <c r="P70" s="132">
        <f>+L70</f>
        <v>9</v>
      </c>
      <c r="Q70" s="66">
        <f>+L70/8</f>
        <v>1.125</v>
      </c>
      <c r="R70" s="115" t="s">
        <v>96</v>
      </c>
      <c r="S70" s="115" t="s">
        <v>97</v>
      </c>
    </row>
    <row r="71" spans="1:19" x14ac:dyDescent="0.25">
      <c r="A71" s="126"/>
      <c r="B71" s="1" t="s">
        <v>1</v>
      </c>
      <c r="C71" s="1" t="s">
        <v>43</v>
      </c>
      <c r="D71" s="123" t="s">
        <v>98</v>
      </c>
      <c r="E71" s="123"/>
      <c r="F71" s="123"/>
      <c r="G71" s="123"/>
      <c r="H71" s="123"/>
      <c r="I71" s="123"/>
      <c r="J71" s="123"/>
      <c r="K71" s="123"/>
      <c r="L71" s="123"/>
      <c r="M71" s="123"/>
      <c r="N71" s="123"/>
      <c r="O71" s="123"/>
      <c r="P71" s="123"/>
      <c r="Q71" s="135"/>
      <c r="R71" s="1" t="s">
        <v>4</v>
      </c>
      <c r="S71" s="1" t="s">
        <v>5</v>
      </c>
    </row>
    <row r="72" spans="1:19" x14ac:dyDescent="0.25">
      <c r="A72" s="126"/>
      <c r="B72" s="1"/>
      <c r="C72" s="1"/>
      <c r="D72" s="124">
        <v>1</v>
      </c>
      <c r="E72" s="124">
        <v>1</v>
      </c>
      <c r="F72" s="124">
        <v>1</v>
      </c>
      <c r="G72" s="124">
        <v>1</v>
      </c>
      <c r="H72" s="124">
        <v>1</v>
      </c>
      <c r="I72" s="124">
        <v>1</v>
      </c>
      <c r="J72" s="124">
        <v>1</v>
      </c>
      <c r="K72" s="124">
        <v>1</v>
      </c>
      <c r="L72" s="124">
        <v>1</v>
      </c>
      <c r="M72" s="124">
        <v>1</v>
      </c>
      <c r="N72" s="124">
        <v>1</v>
      </c>
      <c r="O72" s="124">
        <v>1</v>
      </c>
      <c r="P72" s="124"/>
      <c r="Q72" s="124" t="s">
        <v>88</v>
      </c>
      <c r="R72" s="1"/>
      <c r="S72" s="1"/>
    </row>
    <row r="73" spans="1:19" x14ac:dyDescent="0.25">
      <c r="A73" s="126"/>
      <c r="B73" s="1"/>
      <c r="C73" s="1"/>
      <c r="D73" s="6" t="s">
        <v>9</v>
      </c>
      <c r="E73" s="6" t="s">
        <v>10</v>
      </c>
      <c r="F73" s="6" t="s">
        <v>11</v>
      </c>
      <c r="G73" s="6" t="s">
        <v>12</v>
      </c>
      <c r="H73" s="6" t="s">
        <v>13</v>
      </c>
      <c r="I73" s="6" t="s">
        <v>14</v>
      </c>
      <c r="J73" s="6" t="s">
        <v>15</v>
      </c>
      <c r="K73" s="6" t="s">
        <v>16</v>
      </c>
      <c r="L73" s="6" t="s">
        <v>17</v>
      </c>
      <c r="M73" s="6" t="s">
        <v>18</v>
      </c>
      <c r="N73" s="6" t="s">
        <v>19</v>
      </c>
      <c r="O73" s="6" t="s">
        <v>20</v>
      </c>
      <c r="P73" s="6" t="s">
        <v>21</v>
      </c>
      <c r="Q73" s="6" t="s">
        <v>22</v>
      </c>
      <c r="R73" s="1"/>
      <c r="S73" s="1"/>
    </row>
    <row r="74" spans="1:19" ht="320.25" customHeight="1" x14ac:dyDescent="0.25">
      <c r="A74" s="126"/>
      <c r="B74" s="9" t="s">
        <v>99</v>
      </c>
      <c r="C74" s="9" t="s">
        <v>91</v>
      </c>
      <c r="D74" s="127">
        <v>0</v>
      </c>
      <c r="E74" s="127">
        <v>0</v>
      </c>
      <c r="F74" s="10">
        <v>0</v>
      </c>
      <c r="G74" s="129"/>
      <c r="H74" s="129"/>
      <c r="I74" s="10">
        <v>0</v>
      </c>
      <c r="J74" s="129"/>
      <c r="K74" s="129"/>
      <c r="L74" s="107">
        <v>1</v>
      </c>
      <c r="M74" s="129"/>
      <c r="N74" s="129"/>
      <c r="O74" s="136"/>
      <c r="P74" s="132">
        <v>1</v>
      </c>
      <c r="Q74" s="66">
        <f>+P74/1</f>
        <v>1</v>
      </c>
      <c r="R74" s="115" t="s">
        <v>100</v>
      </c>
      <c r="S74" s="115" t="s">
        <v>97</v>
      </c>
    </row>
    <row r="75" spans="1:19" x14ac:dyDescent="0.25">
      <c r="A75" s="126"/>
      <c r="B75" s="1" t="s">
        <v>1</v>
      </c>
      <c r="C75" s="1" t="s">
        <v>43</v>
      </c>
      <c r="D75" s="123" t="s">
        <v>101</v>
      </c>
      <c r="E75" s="123"/>
      <c r="F75" s="123"/>
      <c r="G75" s="123"/>
      <c r="H75" s="123"/>
      <c r="I75" s="123"/>
      <c r="J75" s="123"/>
      <c r="K75" s="123"/>
      <c r="L75" s="123"/>
      <c r="M75" s="123"/>
      <c r="N75" s="123"/>
      <c r="O75" s="123"/>
      <c r="P75" s="123"/>
      <c r="Q75" s="137"/>
      <c r="R75" s="1" t="s">
        <v>4</v>
      </c>
      <c r="S75" s="1" t="s">
        <v>5</v>
      </c>
    </row>
    <row r="76" spans="1:19" x14ac:dyDescent="0.25">
      <c r="A76" s="126"/>
      <c r="B76" s="1"/>
      <c r="C76" s="1"/>
      <c r="D76" s="124">
        <v>2</v>
      </c>
      <c r="E76" s="124">
        <v>2</v>
      </c>
      <c r="F76" s="124">
        <v>2</v>
      </c>
      <c r="G76" s="124">
        <v>2</v>
      </c>
      <c r="H76" s="124">
        <v>2</v>
      </c>
      <c r="I76" s="124">
        <v>2</v>
      </c>
      <c r="J76" s="124">
        <v>2</v>
      </c>
      <c r="K76" s="124">
        <v>2</v>
      </c>
      <c r="L76" s="124">
        <v>2</v>
      </c>
      <c r="M76" s="124">
        <v>2</v>
      </c>
      <c r="N76" s="124">
        <v>2</v>
      </c>
      <c r="O76" s="124">
        <v>2</v>
      </c>
      <c r="P76" s="124"/>
      <c r="Q76" s="138" t="s">
        <v>88</v>
      </c>
      <c r="R76" s="1"/>
      <c r="S76" s="1"/>
    </row>
    <row r="77" spans="1:19" x14ac:dyDescent="0.25">
      <c r="A77" s="126"/>
      <c r="B77" s="1"/>
      <c r="C77" s="1"/>
      <c r="D77" s="6" t="s">
        <v>9</v>
      </c>
      <c r="E77" s="6" t="s">
        <v>10</v>
      </c>
      <c r="F77" s="6" t="s">
        <v>11</v>
      </c>
      <c r="G77" s="6" t="s">
        <v>12</v>
      </c>
      <c r="H77" s="6" t="s">
        <v>13</v>
      </c>
      <c r="I77" s="6" t="s">
        <v>14</v>
      </c>
      <c r="J77" s="6" t="s">
        <v>15</v>
      </c>
      <c r="K77" s="6" t="s">
        <v>16</v>
      </c>
      <c r="L77" s="6" t="s">
        <v>17</v>
      </c>
      <c r="M77" s="6" t="s">
        <v>18</v>
      </c>
      <c r="N77" s="6" t="s">
        <v>19</v>
      </c>
      <c r="O77" s="6" t="s">
        <v>20</v>
      </c>
      <c r="P77" s="6" t="s">
        <v>21</v>
      </c>
      <c r="Q77" s="6" t="s">
        <v>22</v>
      </c>
      <c r="R77" s="1"/>
      <c r="S77" s="1"/>
    </row>
    <row r="78" spans="1:19" ht="364.5" customHeight="1" x14ac:dyDescent="0.25">
      <c r="A78" s="126"/>
      <c r="B78" s="9" t="s">
        <v>102</v>
      </c>
      <c r="C78" s="9" t="s">
        <v>91</v>
      </c>
      <c r="D78" s="127"/>
      <c r="E78" s="127"/>
      <c r="F78" s="10">
        <v>0</v>
      </c>
      <c r="G78" s="129"/>
      <c r="H78" s="129"/>
      <c r="I78" s="10">
        <v>1</v>
      </c>
      <c r="J78" s="129"/>
      <c r="K78" s="129"/>
      <c r="L78" s="10">
        <v>1</v>
      </c>
      <c r="M78" s="129"/>
      <c r="N78" s="129"/>
      <c r="O78" s="139"/>
      <c r="P78" s="132">
        <f>+L78</f>
        <v>1</v>
      </c>
      <c r="Q78" s="66">
        <f>+I78/1</f>
        <v>1</v>
      </c>
      <c r="R78" s="115" t="s">
        <v>221</v>
      </c>
      <c r="S78" s="115" t="s">
        <v>97</v>
      </c>
    </row>
    <row r="79" spans="1:19" x14ac:dyDescent="0.25">
      <c r="A79" s="1" t="s">
        <v>0</v>
      </c>
      <c r="B79" s="1" t="s">
        <v>1</v>
      </c>
      <c r="C79" s="1" t="s">
        <v>43</v>
      </c>
      <c r="D79" s="140" t="s">
        <v>103</v>
      </c>
      <c r="E79" s="140"/>
      <c r="F79" s="140"/>
      <c r="G79" s="140"/>
      <c r="H79" s="140"/>
      <c r="I79" s="140"/>
      <c r="J79" s="140"/>
      <c r="K79" s="140"/>
      <c r="L79" s="140"/>
      <c r="M79" s="140"/>
      <c r="N79" s="140"/>
      <c r="O79" s="140"/>
      <c r="P79" s="140"/>
      <c r="Q79" s="141"/>
      <c r="R79" s="1" t="s">
        <v>4</v>
      </c>
      <c r="S79" s="1" t="s">
        <v>5</v>
      </c>
    </row>
    <row r="80" spans="1:19" x14ac:dyDescent="0.25">
      <c r="A80" s="1"/>
      <c r="B80" s="1"/>
      <c r="C80" s="1"/>
      <c r="D80" s="142">
        <v>1</v>
      </c>
      <c r="E80" s="142">
        <v>5</v>
      </c>
      <c r="F80" s="142">
        <v>6</v>
      </c>
      <c r="G80" s="142">
        <v>6</v>
      </c>
      <c r="H80" s="142">
        <v>10</v>
      </c>
      <c r="I80" s="142">
        <v>10</v>
      </c>
      <c r="J80" s="142">
        <v>10</v>
      </c>
      <c r="K80" s="142">
        <v>9</v>
      </c>
      <c r="L80" s="141">
        <v>10</v>
      </c>
      <c r="M80" s="141">
        <v>10</v>
      </c>
      <c r="N80" s="141">
        <v>10</v>
      </c>
      <c r="O80" s="141">
        <v>11</v>
      </c>
      <c r="P80" s="142">
        <v>11</v>
      </c>
      <c r="Q80" s="143"/>
      <c r="R80" s="1"/>
      <c r="S80" s="1"/>
    </row>
    <row r="81" spans="1:19" x14ac:dyDescent="0.25">
      <c r="A81" s="1"/>
      <c r="B81" s="1"/>
      <c r="C81" s="1"/>
      <c r="D81" s="6" t="s">
        <v>9</v>
      </c>
      <c r="E81" s="6" t="s">
        <v>10</v>
      </c>
      <c r="F81" s="6" t="s">
        <v>11</v>
      </c>
      <c r="G81" s="6" t="s">
        <v>12</v>
      </c>
      <c r="H81" s="6" t="s">
        <v>13</v>
      </c>
      <c r="I81" s="6" t="s">
        <v>14</v>
      </c>
      <c r="J81" s="6" t="s">
        <v>15</v>
      </c>
      <c r="K81" s="6" t="s">
        <v>16</v>
      </c>
      <c r="L81" s="6" t="s">
        <v>17</v>
      </c>
      <c r="M81" s="6" t="s">
        <v>18</v>
      </c>
      <c r="N81" s="6" t="s">
        <v>19</v>
      </c>
      <c r="O81" s="6" t="s">
        <v>20</v>
      </c>
      <c r="P81" s="6" t="s">
        <v>21</v>
      </c>
      <c r="Q81" s="6" t="s">
        <v>22</v>
      </c>
      <c r="R81" s="1"/>
      <c r="S81" s="1"/>
    </row>
    <row r="82" spans="1:19" ht="109.5" customHeight="1" x14ac:dyDescent="0.25">
      <c r="A82" s="144" t="s">
        <v>104</v>
      </c>
      <c r="B82" s="145" t="s">
        <v>105</v>
      </c>
      <c r="C82" s="146" t="s">
        <v>106</v>
      </c>
      <c r="D82" s="147"/>
      <c r="E82" s="147"/>
      <c r="F82" s="11"/>
      <c r="G82" s="147"/>
      <c r="H82" s="147"/>
      <c r="I82" s="11">
        <v>0</v>
      </c>
      <c r="J82" s="147"/>
      <c r="K82" s="147"/>
      <c r="L82" s="11" t="s">
        <v>107</v>
      </c>
      <c r="M82" s="147"/>
      <c r="N82" s="147"/>
      <c r="O82" s="148"/>
      <c r="P82" s="149">
        <f>+F82</f>
        <v>0</v>
      </c>
      <c r="Q82" s="150">
        <f>P85/13</f>
        <v>0.92307692307692313</v>
      </c>
      <c r="R82" s="151" t="s">
        <v>222</v>
      </c>
      <c r="S82" s="152" t="s">
        <v>108</v>
      </c>
    </row>
    <row r="83" spans="1:19" ht="52.5" customHeight="1" x14ac:dyDescent="0.25">
      <c r="A83" s="144"/>
      <c r="B83" s="153"/>
      <c r="C83" s="154" t="s">
        <v>109</v>
      </c>
      <c r="D83" s="147"/>
      <c r="E83" s="147"/>
      <c r="F83" s="11"/>
      <c r="G83" s="155"/>
      <c r="H83" s="155"/>
      <c r="I83" s="156">
        <v>6</v>
      </c>
      <c r="J83" s="147"/>
      <c r="K83" s="147"/>
      <c r="L83" s="148">
        <v>9</v>
      </c>
      <c r="M83" s="147"/>
      <c r="N83" s="147"/>
      <c r="O83" s="148"/>
      <c r="P83" s="149">
        <f>L83</f>
        <v>9</v>
      </c>
      <c r="Q83" s="157"/>
      <c r="R83" s="158"/>
      <c r="S83" s="159"/>
    </row>
    <row r="84" spans="1:19" ht="52.5" customHeight="1" x14ac:dyDescent="0.25">
      <c r="A84" s="144"/>
      <c r="B84" s="153"/>
      <c r="C84" s="154" t="s">
        <v>110</v>
      </c>
      <c r="D84" s="147"/>
      <c r="E84" s="147"/>
      <c r="F84" s="11">
        <v>2</v>
      </c>
      <c r="G84" s="155"/>
      <c r="H84" s="155"/>
      <c r="I84" s="156">
        <v>3</v>
      </c>
      <c r="J84" s="147"/>
      <c r="K84" s="147"/>
      <c r="L84" s="148">
        <v>3</v>
      </c>
      <c r="M84" s="147"/>
      <c r="N84" s="147"/>
      <c r="O84" s="148"/>
      <c r="P84" s="149">
        <f>L84</f>
        <v>3</v>
      </c>
      <c r="Q84" s="157"/>
      <c r="R84" s="158"/>
      <c r="S84" s="159"/>
    </row>
    <row r="85" spans="1:19" ht="19.5" customHeight="1" x14ac:dyDescent="0.25">
      <c r="A85" s="144"/>
      <c r="B85" s="160"/>
      <c r="C85" s="46" t="s">
        <v>111</v>
      </c>
      <c r="D85" s="147"/>
      <c r="E85" s="147"/>
      <c r="F85" s="11">
        <f>SUM(F82:F84)</f>
        <v>2</v>
      </c>
      <c r="G85" s="155"/>
      <c r="H85" s="155"/>
      <c r="I85" s="161">
        <f>SUM(I82:I84)</f>
        <v>9</v>
      </c>
      <c r="J85" s="147"/>
      <c r="K85" s="147"/>
      <c r="L85" s="148">
        <f>SUM(L82:L84)</f>
        <v>12</v>
      </c>
      <c r="M85" s="147"/>
      <c r="N85" s="147"/>
      <c r="O85" s="148"/>
      <c r="P85" s="149">
        <f>SUM(P82:P84)</f>
        <v>12</v>
      </c>
      <c r="Q85" s="162"/>
      <c r="R85" s="163"/>
      <c r="S85" s="164"/>
    </row>
    <row r="86" spans="1:19" x14ac:dyDescent="0.25">
      <c r="A86" s="144"/>
      <c r="B86" s="1" t="s">
        <v>1</v>
      </c>
      <c r="C86" s="1" t="s">
        <v>43</v>
      </c>
      <c r="D86" s="140" t="s">
        <v>112</v>
      </c>
      <c r="E86" s="140"/>
      <c r="F86" s="140"/>
      <c r="G86" s="140"/>
      <c r="H86" s="140"/>
      <c r="I86" s="140"/>
      <c r="J86" s="140"/>
      <c r="K86" s="140"/>
      <c r="L86" s="140"/>
      <c r="M86" s="140"/>
      <c r="N86" s="140"/>
      <c r="O86" s="140"/>
      <c r="P86" s="140"/>
      <c r="Q86" s="141"/>
      <c r="R86" s="1" t="s">
        <v>4</v>
      </c>
      <c r="S86" s="1" t="s">
        <v>5</v>
      </c>
    </row>
    <row r="87" spans="1:19" ht="24.75" customHeight="1" x14ac:dyDescent="0.25">
      <c r="A87" s="144"/>
      <c r="B87" s="1"/>
      <c r="C87" s="1"/>
      <c r="D87" s="141">
        <v>2</v>
      </c>
      <c r="E87" s="141">
        <v>6</v>
      </c>
      <c r="F87" s="141">
        <v>27</v>
      </c>
      <c r="G87" s="141">
        <v>85</v>
      </c>
      <c r="H87" s="141">
        <v>80</v>
      </c>
      <c r="I87" s="141">
        <v>85</v>
      </c>
      <c r="J87" s="141">
        <v>117</v>
      </c>
      <c r="K87" s="141">
        <v>136</v>
      </c>
      <c r="L87" s="141">
        <v>20</v>
      </c>
      <c r="M87" s="141">
        <v>295</v>
      </c>
      <c r="N87" s="141">
        <v>199</v>
      </c>
      <c r="O87" s="141">
        <v>196</v>
      </c>
      <c r="P87" s="165">
        <f>+SUM(D87:O87)</f>
        <v>1248</v>
      </c>
      <c r="Q87" s="143" t="s">
        <v>6</v>
      </c>
      <c r="R87" s="1"/>
      <c r="S87" s="1"/>
    </row>
    <row r="88" spans="1:19" ht="25.5" customHeight="1" x14ac:dyDescent="0.25">
      <c r="A88" s="144"/>
      <c r="B88" s="1"/>
      <c r="C88" s="1"/>
      <c r="D88" s="141">
        <v>22</v>
      </c>
      <c r="E88" s="141">
        <v>23</v>
      </c>
      <c r="F88" s="141">
        <v>46</v>
      </c>
      <c r="G88" s="141">
        <v>82</v>
      </c>
      <c r="H88" s="141">
        <v>111</v>
      </c>
      <c r="I88" s="141">
        <v>88</v>
      </c>
      <c r="J88" s="141">
        <v>66</v>
      </c>
      <c r="K88" s="141">
        <v>117</v>
      </c>
      <c r="L88" s="141">
        <v>121</v>
      </c>
      <c r="M88" s="141">
        <v>128</v>
      </c>
      <c r="N88" s="141">
        <v>121</v>
      </c>
      <c r="O88" s="141">
        <v>107</v>
      </c>
      <c r="P88" s="165">
        <v>1032</v>
      </c>
      <c r="Q88" s="143" t="s">
        <v>7</v>
      </c>
      <c r="R88" s="1"/>
      <c r="S88" s="1"/>
    </row>
    <row r="89" spans="1:19" ht="25.5" customHeight="1" x14ac:dyDescent="0.25">
      <c r="A89" s="144"/>
      <c r="B89" s="1"/>
      <c r="C89" s="1"/>
      <c r="D89" s="141">
        <v>0</v>
      </c>
      <c r="E89" s="141">
        <v>0</v>
      </c>
      <c r="F89" s="141">
        <v>71</v>
      </c>
      <c r="G89" s="141">
        <v>102</v>
      </c>
      <c r="H89" s="141">
        <v>88</v>
      </c>
      <c r="I89" s="141">
        <v>99</v>
      </c>
      <c r="J89" s="141">
        <v>97</v>
      </c>
      <c r="K89" s="141">
        <v>88</v>
      </c>
      <c r="L89" s="141">
        <v>122</v>
      </c>
      <c r="M89" s="141">
        <v>136</v>
      </c>
      <c r="N89" s="141">
        <v>150</v>
      </c>
      <c r="O89" s="141">
        <v>99</v>
      </c>
      <c r="P89" s="165">
        <v>1052</v>
      </c>
      <c r="Q89" s="143" t="s">
        <v>8</v>
      </c>
      <c r="R89" s="1"/>
      <c r="S89" s="1"/>
    </row>
    <row r="90" spans="1:19" ht="14.25" customHeight="1" x14ac:dyDescent="0.25">
      <c r="A90" s="144"/>
      <c r="B90" s="1"/>
      <c r="C90" s="1"/>
      <c r="D90" s="6" t="s">
        <v>9</v>
      </c>
      <c r="E90" s="6" t="s">
        <v>10</v>
      </c>
      <c r="F90" s="6" t="s">
        <v>11</v>
      </c>
      <c r="G90" s="6" t="s">
        <v>12</v>
      </c>
      <c r="H90" s="6" t="s">
        <v>13</v>
      </c>
      <c r="I90" s="6" t="s">
        <v>14</v>
      </c>
      <c r="J90" s="6" t="s">
        <v>15</v>
      </c>
      <c r="K90" s="6" t="s">
        <v>16</v>
      </c>
      <c r="L90" s="6" t="s">
        <v>17</v>
      </c>
      <c r="M90" s="6" t="s">
        <v>18</v>
      </c>
      <c r="N90" s="6" t="s">
        <v>19</v>
      </c>
      <c r="O90" s="6" t="s">
        <v>20</v>
      </c>
      <c r="P90" s="6" t="s">
        <v>21</v>
      </c>
      <c r="Q90" s="6" t="s">
        <v>22</v>
      </c>
      <c r="R90" s="1"/>
      <c r="S90" s="1"/>
    </row>
    <row r="91" spans="1:19" s="171" customFormat="1" ht="20.100000000000001" customHeight="1" x14ac:dyDescent="0.25">
      <c r="A91" s="144"/>
      <c r="B91" s="166" t="s">
        <v>113</v>
      </c>
      <c r="C91" s="9" t="s">
        <v>114</v>
      </c>
      <c r="D91" s="167">
        <v>2</v>
      </c>
      <c r="E91" s="167">
        <v>5</v>
      </c>
      <c r="F91" s="167">
        <v>5</v>
      </c>
      <c r="G91" s="167">
        <v>13</v>
      </c>
      <c r="H91" s="167">
        <v>17</v>
      </c>
      <c r="I91" s="167">
        <v>13</v>
      </c>
      <c r="J91" s="167">
        <v>15</v>
      </c>
      <c r="K91" s="167">
        <v>15</v>
      </c>
      <c r="L91" s="167">
        <v>21</v>
      </c>
      <c r="M91" s="167"/>
      <c r="N91" s="167"/>
      <c r="O91" s="167"/>
      <c r="P91" s="168">
        <f>SUM(D91:O91)</f>
        <v>106</v>
      </c>
      <c r="Q91" s="169">
        <f>+P97/1100</f>
        <v>0.76636363636363636</v>
      </c>
      <c r="R91" s="170" t="s">
        <v>115</v>
      </c>
      <c r="S91" s="166" t="s">
        <v>116</v>
      </c>
    </row>
    <row r="92" spans="1:19" s="171" customFormat="1" ht="20.100000000000001" customHeight="1" x14ac:dyDescent="0.25">
      <c r="A92" s="144"/>
      <c r="B92" s="166"/>
      <c r="C92" s="9" t="s">
        <v>117</v>
      </c>
      <c r="D92" s="167">
        <v>0</v>
      </c>
      <c r="E92" s="167">
        <v>2</v>
      </c>
      <c r="F92" s="167">
        <v>4</v>
      </c>
      <c r="G92" s="167">
        <v>3</v>
      </c>
      <c r="H92" s="167">
        <v>7</v>
      </c>
      <c r="I92" s="167">
        <v>4</v>
      </c>
      <c r="J92" s="167">
        <v>9</v>
      </c>
      <c r="K92" s="167">
        <v>7</v>
      </c>
      <c r="L92" s="167">
        <v>12</v>
      </c>
      <c r="M92" s="167"/>
      <c r="N92" s="167"/>
      <c r="O92" s="167"/>
      <c r="P92" s="168">
        <f>SUM(D92:O92)</f>
        <v>48</v>
      </c>
      <c r="Q92" s="169"/>
      <c r="R92" s="170"/>
      <c r="S92" s="166"/>
    </row>
    <row r="93" spans="1:19" s="171" customFormat="1" ht="20.100000000000001" customHeight="1" x14ac:dyDescent="0.25">
      <c r="A93" s="144"/>
      <c r="B93" s="166"/>
      <c r="C93" s="9" t="s">
        <v>118</v>
      </c>
      <c r="D93" s="167">
        <v>0</v>
      </c>
      <c r="E93" s="167">
        <v>1</v>
      </c>
      <c r="F93" s="167">
        <v>13</v>
      </c>
      <c r="G93" s="167">
        <v>15</v>
      </c>
      <c r="H93" s="167">
        <v>21</v>
      </c>
      <c r="I93" s="167">
        <v>13</v>
      </c>
      <c r="J93" s="167">
        <v>26</v>
      </c>
      <c r="K93" s="167">
        <v>45</v>
      </c>
      <c r="L93" s="167">
        <v>34</v>
      </c>
      <c r="M93" s="167"/>
      <c r="N93" s="167"/>
      <c r="O93" s="167"/>
      <c r="P93" s="168">
        <f>SUM(D93:O93)</f>
        <v>168</v>
      </c>
      <c r="Q93" s="169"/>
      <c r="R93" s="170"/>
      <c r="S93" s="166"/>
    </row>
    <row r="94" spans="1:19" s="171" customFormat="1" ht="20.100000000000001" customHeight="1" x14ac:dyDescent="0.25">
      <c r="A94" s="144"/>
      <c r="B94" s="166"/>
      <c r="C94" s="146" t="s">
        <v>106</v>
      </c>
      <c r="D94" s="167">
        <v>0</v>
      </c>
      <c r="E94" s="167">
        <v>0</v>
      </c>
      <c r="F94" s="167">
        <v>0</v>
      </c>
      <c r="G94" s="167">
        <v>0</v>
      </c>
      <c r="H94" s="167">
        <v>8</v>
      </c>
      <c r="I94" s="167">
        <v>9</v>
      </c>
      <c r="J94" s="167">
        <v>5</v>
      </c>
      <c r="K94" s="167">
        <v>7</v>
      </c>
      <c r="L94" s="167">
        <v>3</v>
      </c>
      <c r="M94" s="167"/>
      <c r="N94" s="167"/>
      <c r="O94" s="167"/>
      <c r="P94" s="168">
        <f>SUM(D94:O94)</f>
        <v>32</v>
      </c>
      <c r="Q94" s="169"/>
      <c r="R94" s="170"/>
      <c r="S94" s="166"/>
    </row>
    <row r="95" spans="1:19" s="171" customFormat="1" ht="27" customHeight="1" x14ac:dyDescent="0.25">
      <c r="A95" s="144"/>
      <c r="B95" s="166"/>
      <c r="C95" s="146" t="s">
        <v>119</v>
      </c>
      <c r="D95" s="167">
        <v>0</v>
      </c>
      <c r="E95" s="167">
        <v>3</v>
      </c>
      <c r="F95" s="167">
        <v>15</v>
      </c>
      <c r="G95" s="167">
        <v>24</v>
      </c>
      <c r="H95" s="167">
        <v>32</v>
      </c>
      <c r="I95" s="167">
        <v>13</v>
      </c>
      <c r="J95" s="167">
        <v>41</v>
      </c>
      <c r="K95" s="167">
        <v>33</v>
      </c>
      <c r="L95" s="167">
        <v>21</v>
      </c>
      <c r="M95" s="167"/>
      <c r="N95" s="167"/>
      <c r="O95" s="167"/>
      <c r="P95" s="168">
        <f>SUM(D95:O95)</f>
        <v>182</v>
      </c>
      <c r="Q95" s="169"/>
      <c r="R95" s="170"/>
      <c r="S95" s="166"/>
    </row>
    <row r="96" spans="1:19" s="171" customFormat="1" ht="20.100000000000001" customHeight="1" x14ac:dyDescent="0.25">
      <c r="A96" s="144"/>
      <c r="B96" s="166"/>
      <c r="C96" s="9" t="s">
        <v>120</v>
      </c>
      <c r="D96" s="167">
        <v>6</v>
      </c>
      <c r="E96" s="167">
        <v>18</v>
      </c>
      <c r="F96" s="172">
        <v>23</v>
      </c>
      <c r="G96" s="167">
        <v>50</v>
      </c>
      <c r="H96" s="167">
        <v>28</v>
      </c>
      <c r="I96" s="167">
        <v>25</v>
      </c>
      <c r="J96" s="167">
        <v>24</v>
      </c>
      <c r="K96" s="167">
        <v>23</v>
      </c>
      <c r="L96" s="167">
        <v>118</v>
      </c>
      <c r="M96" s="167"/>
      <c r="N96" s="167"/>
      <c r="O96" s="167"/>
      <c r="P96" s="168">
        <f>SUM(D96:O96)</f>
        <v>315</v>
      </c>
      <c r="Q96" s="169"/>
      <c r="R96" s="170"/>
      <c r="S96" s="166"/>
    </row>
    <row r="97" spans="1:19" s="171" customFormat="1" ht="321" customHeight="1" x14ac:dyDescent="0.25">
      <c r="A97" s="144"/>
      <c r="B97" s="166"/>
      <c r="C97" s="46" t="s">
        <v>111</v>
      </c>
      <c r="D97" s="173">
        <f>SUM(D91:D96)</f>
        <v>8</v>
      </c>
      <c r="E97" s="173">
        <f t="shared" ref="E97:O97" si="3">SUM(E91:E96)</f>
        <v>29</v>
      </c>
      <c r="F97" s="173">
        <f t="shared" si="3"/>
        <v>60</v>
      </c>
      <c r="G97" s="173">
        <f t="shared" si="3"/>
        <v>105</v>
      </c>
      <c r="H97" s="173">
        <f t="shared" si="3"/>
        <v>113</v>
      </c>
      <c r="I97" s="173">
        <f t="shared" si="3"/>
        <v>77</v>
      </c>
      <c r="J97" s="173">
        <f t="shared" si="3"/>
        <v>120</v>
      </c>
      <c r="K97" s="173">
        <f t="shared" si="3"/>
        <v>130</v>
      </c>
      <c r="L97" s="173">
        <f t="shared" si="3"/>
        <v>209</v>
      </c>
      <c r="M97" s="173">
        <f t="shared" si="3"/>
        <v>0</v>
      </c>
      <c r="N97" s="173">
        <f t="shared" si="3"/>
        <v>0</v>
      </c>
      <c r="O97" s="173">
        <f t="shared" si="3"/>
        <v>0</v>
      </c>
      <c r="P97" s="168">
        <f>SUM(P91:P96)-1-1-1-1-1-3</f>
        <v>843</v>
      </c>
      <c r="Q97" s="169"/>
      <c r="R97" s="170"/>
      <c r="S97" s="166"/>
    </row>
    <row r="98" spans="1:19" x14ac:dyDescent="0.25">
      <c r="A98" s="144"/>
      <c r="B98" s="1" t="s">
        <v>1</v>
      </c>
      <c r="C98" s="1" t="s">
        <v>43</v>
      </c>
      <c r="D98" s="140" t="s">
        <v>121</v>
      </c>
      <c r="E98" s="140"/>
      <c r="F98" s="140"/>
      <c r="G98" s="140"/>
      <c r="H98" s="140"/>
      <c r="I98" s="140"/>
      <c r="J98" s="140"/>
      <c r="K98" s="140"/>
      <c r="L98" s="140"/>
      <c r="M98" s="140"/>
      <c r="N98" s="140"/>
      <c r="O98" s="140"/>
      <c r="P98" s="140"/>
      <c r="Q98" s="141"/>
      <c r="R98" s="1" t="s">
        <v>4</v>
      </c>
      <c r="S98" s="1" t="s">
        <v>5</v>
      </c>
    </row>
    <row r="99" spans="1:19" x14ac:dyDescent="0.25">
      <c r="A99" s="144"/>
      <c r="B99" s="1"/>
      <c r="C99" s="1"/>
      <c r="D99" s="174">
        <v>2326</v>
      </c>
      <c r="E99" s="174">
        <f>6542+D99</f>
        <v>8868</v>
      </c>
      <c r="F99" s="174">
        <f>43776+E99</f>
        <v>52644</v>
      </c>
      <c r="G99" s="174">
        <f>42504+F99</f>
        <v>95148</v>
      </c>
      <c r="H99" s="174">
        <f>33937+G99</f>
        <v>129085</v>
      </c>
      <c r="I99" s="174">
        <f>40440+H99</f>
        <v>169525</v>
      </c>
      <c r="J99" s="174">
        <f>36709+I99</f>
        <v>206234</v>
      </c>
      <c r="K99" s="174">
        <f>30658+J99</f>
        <v>236892</v>
      </c>
      <c r="L99" s="174">
        <f>7803+K99</f>
        <v>244695</v>
      </c>
      <c r="M99" s="174">
        <f>107479+L99</f>
        <v>352174</v>
      </c>
      <c r="N99" s="174">
        <f>33703+M99</f>
        <v>385877</v>
      </c>
      <c r="O99" s="174">
        <f>33539+N99</f>
        <v>419416</v>
      </c>
      <c r="P99" s="174">
        <f>+O99</f>
        <v>419416</v>
      </c>
      <c r="Q99" s="143" t="s">
        <v>6</v>
      </c>
      <c r="R99" s="1"/>
      <c r="S99" s="1"/>
    </row>
    <row r="100" spans="1:19" x14ac:dyDescent="0.25">
      <c r="A100" s="144"/>
      <c r="B100" s="1"/>
      <c r="C100" s="1"/>
      <c r="D100" s="174">
        <v>14516</v>
      </c>
      <c r="E100" s="174">
        <v>11585</v>
      </c>
      <c r="F100" s="174">
        <v>28635</v>
      </c>
      <c r="G100" s="174">
        <v>49104</v>
      </c>
      <c r="H100" s="174">
        <v>37963</v>
      </c>
      <c r="I100" s="174">
        <v>27993</v>
      </c>
      <c r="J100" s="174">
        <v>23583</v>
      </c>
      <c r="K100" s="174">
        <v>30839</v>
      </c>
      <c r="L100" s="174">
        <v>51794</v>
      </c>
      <c r="M100" s="174">
        <v>39945</v>
      </c>
      <c r="N100" s="174">
        <v>37454</v>
      </c>
      <c r="O100" s="174">
        <v>38065</v>
      </c>
      <c r="P100" s="174">
        <v>391476</v>
      </c>
      <c r="Q100" s="143" t="s">
        <v>7</v>
      </c>
      <c r="R100" s="1"/>
      <c r="S100" s="1"/>
    </row>
    <row r="101" spans="1:19" x14ac:dyDescent="0.25">
      <c r="A101" s="144"/>
      <c r="B101" s="1"/>
      <c r="C101" s="1"/>
      <c r="D101" s="174">
        <v>0</v>
      </c>
      <c r="E101" s="174">
        <v>0</v>
      </c>
      <c r="F101" s="174">
        <v>44445</v>
      </c>
      <c r="G101" s="174">
        <v>40935</v>
      </c>
      <c r="H101" s="174">
        <v>27920</v>
      </c>
      <c r="I101" s="174">
        <v>23162</v>
      </c>
      <c r="J101" s="174">
        <v>23202</v>
      </c>
      <c r="K101" s="174">
        <v>21508</v>
      </c>
      <c r="L101" s="174">
        <v>59357</v>
      </c>
      <c r="M101" s="174">
        <v>39709</v>
      </c>
      <c r="N101" s="174">
        <v>41317</v>
      </c>
      <c r="O101" s="174">
        <v>39304</v>
      </c>
      <c r="P101" s="174">
        <v>360859</v>
      </c>
      <c r="Q101" s="143" t="s">
        <v>8</v>
      </c>
      <c r="R101" s="1"/>
      <c r="S101" s="1"/>
    </row>
    <row r="102" spans="1:19" x14ac:dyDescent="0.25">
      <c r="A102" s="144"/>
      <c r="B102" s="1"/>
      <c r="C102" s="1"/>
      <c r="D102" s="6" t="s">
        <v>9</v>
      </c>
      <c r="E102" s="6" t="s">
        <v>10</v>
      </c>
      <c r="F102" s="6" t="s">
        <v>11</v>
      </c>
      <c r="G102" s="6" t="s">
        <v>12</v>
      </c>
      <c r="H102" s="6" t="s">
        <v>13</v>
      </c>
      <c r="I102" s="6" t="s">
        <v>14</v>
      </c>
      <c r="J102" s="6" t="s">
        <v>15</v>
      </c>
      <c r="K102" s="6" t="s">
        <v>16</v>
      </c>
      <c r="L102" s="6" t="s">
        <v>17</v>
      </c>
      <c r="M102" s="6" t="s">
        <v>18</v>
      </c>
      <c r="N102" s="6" t="s">
        <v>19</v>
      </c>
      <c r="O102" s="6" t="s">
        <v>20</v>
      </c>
      <c r="P102" s="6" t="s">
        <v>21</v>
      </c>
      <c r="Q102" s="6" t="s">
        <v>22</v>
      </c>
      <c r="R102" s="1"/>
      <c r="S102" s="1"/>
    </row>
    <row r="103" spans="1:19" s="171" customFormat="1" ht="20.100000000000001" customHeight="1" x14ac:dyDescent="0.25">
      <c r="A103" s="144"/>
      <c r="B103" s="166" t="s">
        <v>122</v>
      </c>
      <c r="C103" s="9" t="s">
        <v>114</v>
      </c>
      <c r="D103" s="167">
        <v>1278</v>
      </c>
      <c r="E103" s="167">
        <v>5368</v>
      </c>
      <c r="F103" s="167">
        <v>6051</v>
      </c>
      <c r="G103" s="167">
        <v>7439</v>
      </c>
      <c r="H103" s="167">
        <v>9436</v>
      </c>
      <c r="I103" s="167">
        <v>5155</v>
      </c>
      <c r="J103" s="167">
        <v>10652</v>
      </c>
      <c r="K103" s="167">
        <v>7210</v>
      </c>
      <c r="L103" s="172">
        <v>8301</v>
      </c>
      <c r="M103" s="167"/>
      <c r="N103" s="167"/>
      <c r="O103" s="172"/>
      <c r="P103" s="168">
        <f>+SUM(D103:O103)</f>
        <v>60890</v>
      </c>
      <c r="Q103" s="169">
        <f>+(P109/400000)</f>
        <v>0.91226249999999998</v>
      </c>
      <c r="R103" s="170" t="s">
        <v>123</v>
      </c>
      <c r="S103" s="166" t="s">
        <v>124</v>
      </c>
    </row>
    <row r="104" spans="1:19" s="171" customFormat="1" ht="20.100000000000001" customHeight="1" x14ac:dyDescent="0.25">
      <c r="A104" s="144"/>
      <c r="B104" s="166"/>
      <c r="C104" s="9" t="s">
        <v>117</v>
      </c>
      <c r="D104" s="175">
        <v>0</v>
      </c>
      <c r="E104" s="167">
        <v>2326</v>
      </c>
      <c r="F104" s="167">
        <v>930</v>
      </c>
      <c r="G104" s="167">
        <v>1872</v>
      </c>
      <c r="H104" s="167">
        <v>3209</v>
      </c>
      <c r="I104" s="167">
        <v>621</v>
      </c>
      <c r="J104" s="167">
        <v>574</v>
      </c>
      <c r="K104" s="167">
        <v>780</v>
      </c>
      <c r="L104" s="167">
        <v>2696</v>
      </c>
      <c r="M104" s="167"/>
      <c r="N104" s="167"/>
      <c r="O104" s="172"/>
      <c r="P104" s="168">
        <f>+SUM(D104:O104)</f>
        <v>13008</v>
      </c>
      <c r="Q104" s="169"/>
      <c r="R104" s="170"/>
      <c r="S104" s="166"/>
    </row>
    <row r="105" spans="1:19" s="171" customFormat="1" ht="20.100000000000001" customHeight="1" x14ac:dyDescent="0.25">
      <c r="A105" s="144"/>
      <c r="B105" s="166"/>
      <c r="C105" s="9" t="s">
        <v>118</v>
      </c>
      <c r="D105" s="175">
        <v>0</v>
      </c>
      <c r="E105" s="167">
        <v>19</v>
      </c>
      <c r="F105" s="167">
        <f>1367</f>
        <v>1367</v>
      </c>
      <c r="G105" s="167">
        <v>1325</v>
      </c>
      <c r="H105" s="167">
        <v>1179</v>
      </c>
      <c r="I105" s="167">
        <v>886</v>
      </c>
      <c r="J105" s="167">
        <v>1586</v>
      </c>
      <c r="K105" s="167">
        <v>2712</v>
      </c>
      <c r="L105" s="167">
        <v>1699</v>
      </c>
      <c r="M105" s="167"/>
      <c r="N105" s="167"/>
      <c r="O105" s="172"/>
      <c r="P105" s="168">
        <f>+SUM(D105:O105)</f>
        <v>10773</v>
      </c>
      <c r="Q105" s="169"/>
      <c r="R105" s="170"/>
      <c r="S105" s="166"/>
    </row>
    <row r="106" spans="1:19" s="171" customFormat="1" ht="20.100000000000001" customHeight="1" x14ac:dyDescent="0.25">
      <c r="A106" s="144"/>
      <c r="B106" s="166"/>
      <c r="C106" s="9" t="s">
        <v>120</v>
      </c>
      <c r="D106" s="167">
        <v>2150</v>
      </c>
      <c r="E106" s="167">
        <v>6574</v>
      </c>
      <c r="F106" s="172">
        <v>8861</v>
      </c>
      <c r="G106" s="172">
        <v>29025</v>
      </c>
      <c r="H106" s="167">
        <v>9654</v>
      </c>
      <c r="I106" s="167">
        <v>8516</v>
      </c>
      <c r="J106" s="167">
        <v>14870</v>
      </c>
      <c r="K106" s="167">
        <v>7965</v>
      </c>
      <c r="L106" s="167">
        <v>84395</v>
      </c>
      <c r="M106" s="167"/>
      <c r="N106" s="167"/>
      <c r="O106" s="167"/>
      <c r="P106" s="168">
        <f>+SUM(D106:O106)</f>
        <v>172010</v>
      </c>
      <c r="Q106" s="169"/>
      <c r="R106" s="170"/>
      <c r="S106" s="166"/>
    </row>
    <row r="107" spans="1:19" s="171" customFormat="1" ht="20.100000000000001" customHeight="1" x14ac:dyDescent="0.25">
      <c r="A107" s="144"/>
      <c r="B107" s="166"/>
      <c r="C107" s="146" t="s">
        <v>106</v>
      </c>
      <c r="D107" s="175">
        <v>0</v>
      </c>
      <c r="E107" s="167">
        <v>0</v>
      </c>
      <c r="F107" s="167">
        <v>0</v>
      </c>
      <c r="G107" s="167">
        <v>0</v>
      </c>
      <c r="H107" s="167">
        <v>6350</v>
      </c>
      <c r="I107" s="167">
        <v>9318</v>
      </c>
      <c r="J107" s="167">
        <v>23780</v>
      </c>
      <c r="K107" s="167">
        <v>30275</v>
      </c>
      <c r="L107" s="172">
        <v>1423</v>
      </c>
      <c r="M107" s="167"/>
      <c r="N107" s="167"/>
      <c r="O107" s="172"/>
      <c r="P107" s="168">
        <f>+SUM(D107:O107)</f>
        <v>71146</v>
      </c>
      <c r="Q107" s="169"/>
      <c r="R107" s="170"/>
      <c r="S107" s="166"/>
    </row>
    <row r="108" spans="1:19" s="171" customFormat="1" ht="27" customHeight="1" x14ac:dyDescent="0.25">
      <c r="A108" s="144"/>
      <c r="B108" s="166"/>
      <c r="C108" s="146" t="s">
        <v>119</v>
      </c>
      <c r="D108" s="175">
        <v>0</v>
      </c>
      <c r="E108" s="167">
        <v>1800</v>
      </c>
      <c r="F108" s="167">
        <v>3786</v>
      </c>
      <c r="G108" s="167">
        <v>6387</v>
      </c>
      <c r="H108" s="167">
        <v>8189</v>
      </c>
      <c r="I108" s="167">
        <v>3672</v>
      </c>
      <c r="J108" s="167">
        <v>8226</v>
      </c>
      <c r="K108" s="167">
        <v>7042</v>
      </c>
      <c r="L108" s="16">
        <v>4607</v>
      </c>
      <c r="M108" s="167"/>
      <c r="N108" s="10"/>
      <c r="O108" s="16"/>
      <c r="P108" s="168">
        <f>+SUM(D108:O108)</f>
        <v>43709</v>
      </c>
      <c r="Q108" s="169"/>
      <c r="R108" s="170"/>
      <c r="S108" s="166"/>
    </row>
    <row r="109" spans="1:19" s="171" customFormat="1" ht="282" customHeight="1" x14ac:dyDescent="0.25">
      <c r="A109" s="144"/>
      <c r="B109" s="166"/>
      <c r="C109" s="46" t="s">
        <v>125</v>
      </c>
      <c r="D109" s="173">
        <f>+SUM(D103:D108)</f>
        <v>3428</v>
      </c>
      <c r="E109" s="173">
        <f t="shared" ref="E109:O109" si="4">+SUM(E103:E108)</f>
        <v>16087</v>
      </c>
      <c r="F109" s="173">
        <f t="shared" si="4"/>
        <v>20995</v>
      </c>
      <c r="G109" s="173">
        <f t="shared" si="4"/>
        <v>46048</v>
      </c>
      <c r="H109" s="173">
        <f t="shared" si="4"/>
        <v>38017</v>
      </c>
      <c r="I109" s="173">
        <f t="shared" si="4"/>
        <v>28168</v>
      </c>
      <c r="J109" s="173">
        <f t="shared" si="4"/>
        <v>59688</v>
      </c>
      <c r="K109" s="173">
        <f t="shared" si="4"/>
        <v>55984</v>
      </c>
      <c r="L109" s="173">
        <f t="shared" si="4"/>
        <v>103121</v>
      </c>
      <c r="M109" s="173">
        <f t="shared" si="4"/>
        <v>0</v>
      </c>
      <c r="N109" s="173">
        <f t="shared" si="4"/>
        <v>0</v>
      </c>
      <c r="O109" s="173">
        <f t="shared" si="4"/>
        <v>0</v>
      </c>
      <c r="P109" s="176">
        <f>+SUM(P103:P108)-150-450-988-43-124-4876</f>
        <v>364905</v>
      </c>
      <c r="Q109" s="169"/>
      <c r="R109" s="170"/>
      <c r="S109" s="166"/>
    </row>
    <row r="110" spans="1:19" x14ac:dyDescent="0.25">
      <c r="A110" s="144"/>
      <c r="B110" s="1" t="s">
        <v>1</v>
      </c>
      <c r="C110" s="1" t="s">
        <v>43</v>
      </c>
      <c r="D110" s="140" t="s">
        <v>126</v>
      </c>
      <c r="E110" s="140"/>
      <c r="F110" s="140"/>
      <c r="G110" s="140"/>
      <c r="H110" s="140"/>
      <c r="I110" s="140"/>
      <c r="J110" s="140"/>
      <c r="K110" s="140"/>
      <c r="L110" s="140"/>
      <c r="M110" s="140"/>
      <c r="N110" s="140"/>
      <c r="O110" s="140"/>
      <c r="P110" s="140"/>
      <c r="Q110" s="141"/>
      <c r="R110" s="1" t="s">
        <v>4</v>
      </c>
      <c r="S110" s="1" t="s">
        <v>5</v>
      </c>
    </row>
    <row r="111" spans="1:19" x14ac:dyDescent="0.25">
      <c r="A111" s="144"/>
      <c r="B111" s="1"/>
      <c r="C111" s="1"/>
      <c r="D111" s="177">
        <v>0</v>
      </c>
      <c r="E111" s="177">
        <v>0.04</v>
      </c>
      <c r="F111" s="177">
        <v>6.6699999999999995E-2</v>
      </c>
      <c r="G111" s="177">
        <v>0.12</v>
      </c>
      <c r="H111" s="177">
        <v>0.3135</v>
      </c>
      <c r="I111" s="177">
        <v>0.34029999999999999</v>
      </c>
      <c r="J111" s="177">
        <v>0.37719999999999998</v>
      </c>
      <c r="K111" s="177">
        <v>0.4017</v>
      </c>
      <c r="L111" s="177">
        <v>0.62519999999999998</v>
      </c>
      <c r="M111" s="177">
        <v>0.78439999999999999</v>
      </c>
      <c r="N111" s="177">
        <v>0.96</v>
      </c>
      <c r="O111" s="177">
        <v>1.06</v>
      </c>
      <c r="P111" s="177">
        <v>1.06</v>
      </c>
      <c r="Q111" s="143" t="s">
        <v>8</v>
      </c>
      <c r="R111" s="1"/>
      <c r="S111" s="1"/>
    </row>
    <row r="112" spans="1:19" x14ac:dyDescent="0.25">
      <c r="A112" s="144"/>
      <c r="B112" s="1"/>
      <c r="C112" s="1"/>
      <c r="D112" s="6" t="s">
        <v>9</v>
      </c>
      <c r="E112" s="6" t="s">
        <v>10</v>
      </c>
      <c r="F112" s="6" t="s">
        <v>11</v>
      </c>
      <c r="G112" s="6" t="s">
        <v>12</v>
      </c>
      <c r="H112" s="6" t="s">
        <v>13</v>
      </c>
      <c r="I112" s="6" t="s">
        <v>14</v>
      </c>
      <c r="J112" s="6" t="s">
        <v>15</v>
      </c>
      <c r="K112" s="6" t="s">
        <v>16</v>
      </c>
      <c r="L112" s="6" t="s">
        <v>17</v>
      </c>
      <c r="M112" s="6" t="s">
        <v>18</v>
      </c>
      <c r="N112" s="6" t="s">
        <v>19</v>
      </c>
      <c r="O112" s="6" t="s">
        <v>20</v>
      </c>
      <c r="P112" s="6" t="s">
        <v>21</v>
      </c>
      <c r="Q112" s="6" t="s">
        <v>22</v>
      </c>
      <c r="R112" s="1"/>
      <c r="S112" s="1"/>
    </row>
    <row r="113" spans="1:19" ht="216.75" customHeight="1" x14ac:dyDescent="0.25">
      <c r="A113" s="144"/>
      <c r="B113" s="87" t="s">
        <v>127</v>
      </c>
      <c r="C113" s="9" t="s">
        <v>128</v>
      </c>
      <c r="D113" s="147"/>
      <c r="E113" s="147"/>
      <c r="F113" s="74">
        <v>6.6000000000000003E-2</v>
      </c>
      <c r="G113" s="147"/>
      <c r="H113" s="147"/>
      <c r="I113" s="178">
        <v>0.40899999999999997</v>
      </c>
      <c r="J113" s="147"/>
      <c r="K113" s="147"/>
      <c r="L113" s="179">
        <v>0.62</v>
      </c>
      <c r="M113" s="147"/>
      <c r="N113" s="147"/>
      <c r="O113" s="180"/>
      <c r="P113" s="181">
        <f>L113</f>
        <v>0.62</v>
      </c>
      <c r="Q113" s="182">
        <f>P113*0.03</f>
        <v>1.8599999999999998E-2</v>
      </c>
      <c r="R113" s="183" t="s">
        <v>129</v>
      </c>
      <c r="S113" s="184" t="s">
        <v>130</v>
      </c>
    </row>
    <row r="114" spans="1:19" x14ac:dyDescent="0.25">
      <c r="A114" s="144"/>
      <c r="B114" s="1" t="s">
        <v>1</v>
      </c>
      <c r="C114" s="1" t="s">
        <v>43</v>
      </c>
      <c r="D114" s="140" t="s">
        <v>131</v>
      </c>
      <c r="E114" s="140"/>
      <c r="F114" s="140"/>
      <c r="G114" s="140"/>
      <c r="H114" s="140"/>
      <c r="I114" s="140"/>
      <c r="J114" s="140"/>
      <c r="K114" s="140"/>
      <c r="L114" s="140"/>
      <c r="M114" s="140"/>
      <c r="N114" s="140"/>
      <c r="O114" s="140"/>
      <c r="P114" s="140"/>
      <c r="Q114" s="141"/>
      <c r="R114" s="1" t="s">
        <v>4</v>
      </c>
      <c r="S114" s="1" t="s">
        <v>5</v>
      </c>
    </row>
    <row r="115" spans="1:19" x14ac:dyDescent="0.25">
      <c r="A115" s="144"/>
      <c r="B115" s="1"/>
      <c r="C115" s="1"/>
      <c r="D115" s="141">
        <v>0</v>
      </c>
      <c r="E115" s="141">
        <v>0</v>
      </c>
      <c r="F115" s="141">
        <v>2</v>
      </c>
      <c r="G115" s="141"/>
      <c r="H115" s="141"/>
      <c r="I115" s="141">
        <v>2</v>
      </c>
      <c r="J115" s="141"/>
      <c r="K115" s="141"/>
      <c r="L115" s="141">
        <v>2</v>
      </c>
      <c r="M115" s="141"/>
      <c r="N115" s="141"/>
      <c r="O115" s="141">
        <v>3</v>
      </c>
      <c r="P115" s="141">
        <v>3</v>
      </c>
      <c r="Q115" s="143" t="s">
        <v>8</v>
      </c>
      <c r="R115" s="1"/>
      <c r="S115" s="1"/>
    </row>
    <row r="116" spans="1:19" x14ac:dyDescent="0.25">
      <c r="A116" s="144"/>
      <c r="B116" s="1"/>
      <c r="C116" s="1"/>
      <c r="D116" s="6" t="s">
        <v>9</v>
      </c>
      <c r="E116" s="6" t="s">
        <v>10</v>
      </c>
      <c r="F116" s="6" t="s">
        <v>11</v>
      </c>
      <c r="G116" s="6" t="s">
        <v>12</v>
      </c>
      <c r="H116" s="6" t="s">
        <v>13</v>
      </c>
      <c r="I116" s="6" t="s">
        <v>14</v>
      </c>
      <c r="J116" s="6" t="s">
        <v>15</v>
      </c>
      <c r="K116" s="6" t="s">
        <v>16</v>
      </c>
      <c r="L116" s="6" t="s">
        <v>17</v>
      </c>
      <c r="M116" s="6" t="s">
        <v>18</v>
      </c>
      <c r="N116" s="6" t="s">
        <v>19</v>
      </c>
      <c r="O116" s="6" t="s">
        <v>20</v>
      </c>
      <c r="P116" s="6" t="s">
        <v>21</v>
      </c>
      <c r="Q116" s="6" t="s">
        <v>22</v>
      </c>
      <c r="R116" s="1"/>
      <c r="S116" s="1"/>
    </row>
    <row r="117" spans="1:19" ht="202.5" customHeight="1" x14ac:dyDescent="0.25">
      <c r="A117" s="144"/>
      <c r="B117" s="185" t="s">
        <v>132</v>
      </c>
      <c r="C117" s="146" t="s">
        <v>128</v>
      </c>
      <c r="D117" s="147"/>
      <c r="E117" s="147"/>
      <c r="F117" s="10">
        <v>1</v>
      </c>
      <c r="G117" s="186"/>
      <c r="H117" s="186"/>
      <c r="I117" s="10">
        <v>1</v>
      </c>
      <c r="J117" s="147"/>
      <c r="K117" s="147"/>
      <c r="L117" s="16">
        <v>1</v>
      </c>
      <c r="M117" s="147"/>
      <c r="N117" s="147"/>
      <c r="O117" s="139"/>
      <c r="P117" s="187">
        <f>+F117</f>
        <v>1</v>
      </c>
      <c r="Q117" s="114">
        <f>+P117/3</f>
        <v>0.33333333333333331</v>
      </c>
      <c r="R117" s="188" t="s">
        <v>133</v>
      </c>
      <c r="S117" s="188" t="s">
        <v>34</v>
      </c>
    </row>
    <row r="118" spans="1:19" x14ac:dyDescent="0.25">
      <c r="A118" s="1" t="s">
        <v>0</v>
      </c>
      <c r="B118" s="51" t="s">
        <v>1</v>
      </c>
      <c r="C118" s="1" t="s">
        <v>43</v>
      </c>
      <c r="D118" s="189" t="s">
        <v>134</v>
      </c>
      <c r="E118" s="189"/>
      <c r="F118" s="189"/>
      <c r="G118" s="189"/>
      <c r="H118" s="189"/>
      <c r="I118" s="189"/>
      <c r="J118" s="189"/>
      <c r="K118" s="189"/>
      <c r="L118" s="189"/>
      <c r="M118" s="189"/>
      <c r="N118" s="189"/>
      <c r="O118" s="189"/>
      <c r="P118" s="189"/>
      <c r="Q118" s="189"/>
      <c r="R118" s="1" t="s">
        <v>4</v>
      </c>
      <c r="S118" s="1" t="s">
        <v>5</v>
      </c>
    </row>
    <row r="119" spans="1:19" x14ac:dyDescent="0.25">
      <c r="A119" s="1"/>
      <c r="B119" s="190"/>
      <c r="C119" s="1"/>
      <c r="D119" s="191">
        <v>239</v>
      </c>
      <c r="E119" s="191">
        <v>366</v>
      </c>
      <c r="F119" s="191">
        <v>446</v>
      </c>
      <c r="G119" s="191">
        <v>427</v>
      </c>
      <c r="H119" s="191">
        <v>919</v>
      </c>
      <c r="I119" s="191">
        <v>940</v>
      </c>
      <c r="J119" s="191">
        <v>602</v>
      </c>
      <c r="K119" s="191">
        <v>1436</v>
      </c>
      <c r="L119" s="191">
        <v>719</v>
      </c>
      <c r="M119" s="191">
        <v>999</v>
      </c>
      <c r="N119" s="191">
        <v>605</v>
      </c>
      <c r="O119" s="191">
        <v>376</v>
      </c>
      <c r="P119" s="192">
        <f>+SUM(D119:O119)</f>
        <v>8074</v>
      </c>
      <c r="Q119" s="193" t="s">
        <v>6</v>
      </c>
      <c r="R119" s="1"/>
      <c r="S119" s="1"/>
    </row>
    <row r="120" spans="1:19" x14ac:dyDescent="0.25">
      <c r="A120" s="1"/>
      <c r="B120" s="190"/>
      <c r="C120" s="1"/>
      <c r="D120" s="191">
        <v>526</v>
      </c>
      <c r="E120" s="191">
        <v>248</v>
      </c>
      <c r="F120" s="191">
        <v>374</v>
      </c>
      <c r="G120" s="191">
        <v>532</v>
      </c>
      <c r="H120" s="191">
        <v>467</v>
      </c>
      <c r="I120" s="191">
        <v>653</v>
      </c>
      <c r="J120" s="191">
        <v>1546</v>
      </c>
      <c r="K120" s="191">
        <v>1597</v>
      </c>
      <c r="L120" s="191">
        <v>1521</v>
      </c>
      <c r="M120" s="191">
        <v>1605</v>
      </c>
      <c r="N120" s="191">
        <v>1325</v>
      </c>
      <c r="O120" s="191">
        <v>653</v>
      </c>
      <c r="P120" s="192">
        <v>11047</v>
      </c>
      <c r="Q120" s="193" t="s">
        <v>7</v>
      </c>
      <c r="R120" s="1"/>
      <c r="S120" s="1"/>
    </row>
    <row r="121" spans="1:19" x14ac:dyDescent="0.25">
      <c r="A121" s="1"/>
      <c r="B121" s="190"/>
      <c r="C121" s="1"/>
      <c r="D121" s="191">
        <v>323</v>
      </c>
      <c r="E121" s="191">
        <v>415</v>
      </c>
      <c r="F121" s="191">
        <v>644</v>
      </c>
      <c r="G121" s="191">
        <v>632</v>
      </c>
      <c r="H121" s="191">
        <v>816</v>
      </c>
      <c r="I121" s="191">
        <v>917</v>
      </c>
      <c r="J121" s="191">
        <v>630</v>
      </c>
      <c r="K121" s="191">
        <v>1162</v>
      </c>
      <c r="L121" s="191">
        <v>600</v>
      </c>
      <c r="M121" s="191">
        <v>810</v>
      </c>
      <c r="N121" s="191">
        <v>781</v>
      </c>
      <c r="O121" s="191">
        <v>513</v>
      </c>
      <c r="P121" s="192">
        <v>8243</v>
      </c>
      <c r="Q121" s="193" t="s">
        <v>8</v>
      </c>
      <c r="R121" s="1"/>
      <c r="S121" s="1"/>
    </row>
    <row r="122" spans="1:19" x14ac:dyDescent="0.25">
      <c r="A122" s="1"/>
      <c r="B122" s="58"/>
      <c r="C122" s="1"/>
      <c r="D122" s="6" t="s">
        <v>9</v>
      </c>
      <c r="E122" s="6" t="s">
        <v>10</v>
      </c>
      <c r="F122" s="6" t="s">
        <v>11</v>
      </c>
      <c r="G122" s="6" t="s">
        <v>12</v>
      </c>
      <c r="H122" s="6" t="s">
        <v>13</v>
      </c>
      <c r="I122" s="6" t="s">
        <v>14</v>
      </c>
      <c r="J122" s="6" t="s">
        <v>15</v>
      </c>
      <c r="K122" s="6" t="s">
        <v>16</v>
      </c>
      <c r="L122" s="6" t="s">
        <v>17</v>
      </c>
      <c r="M122" s="6" t="s">
        <v>18</v>
      </c>
      <c r="N122" s="6" t="s">
        <v>19</v>
      </c>
      <c r="O122" s="6" t="s">
        <v>20</v>
      </c>
      <c r="P122" s="6" t="s">
        <v>21</v>
      </c>
      <c r="Q122" s="6" t="s">
        <v>22</v>
      </c>
      <c r="R122" s="1"/>
      <c r="S122" s="1"/>
    </row>
    <row r="123" spans="1:19" ht="25.5" customHeight="1" x14ac:dyDescent="0.25">
      <c r="A123" s="194" t="s">
        <v>135</v>
      </c>
      <c r="B123" s="15" t="s">
        <v>136</v>
      </c>
      <c r="C123" s="9" t="s">
        <v>137</v>
      </c>
      <c r="D123" s="9">
        <v>577</v>
      </c>
      <c r="E123" s="9">
        <v>380</v>
      </c>
      <c r="F123" s="9">
        <v>490</v>
      </c>
      <c r="G123" s="9">
        <v>556</v>
      </c>
      <c r="H123" s="9">
        <v>1220</v>
      </c>
      <c r="I123" s="9">
        <v>710</v>
      </c>
      <c r="J123" s="9">
        <v>1145</v>
      </c>
      <c r="K123" s="9">
        <v>1013</v>
      </c>
      <c r="L123" s="9">
        <v>715</v>
      </c>
      <c r="M123" s="9"/>
      <c r="N123" s="9"/>
      <c r="O123" s="9"/>
      <c r="P123" s="195">
        <f>+SUM(D123:O123)</f>
        <v>6806</v>
      </c>
      <c r="Q123" s="196">
        <f>+P125/9000</f>
        <v>0.76022222222222224</v>
      </c>
      <c r="R123" s="197" t="s">
        <v>138</v>
      </c>
      <c r="S123" s="198" t="s">
        <v>93</v>
      </c>
    </row>
    <row r="124" spans="1:19" ht="42.75" customHeight="1" x14ac:dyDescent="0.25">
      <c r="A124" s="194"/>
      <c r="B124" s="15"/>
      <c r="C124" s="9" t="s">
        <v>139</v>
      </c>
      <c r="D124" s="9">
        <v>0</v>
      </c>
      <c r="E124" s="9">
        <v>0</v>
      </c>
      <c r="F124" s="9">
        <v>0</v>
      </c>
      <c r="G124" s="9">
        <v>4</v>
      </c>
      <c r="H124" s="9">
        <v>4</v>
      </c>
      <c r="I124" s="9">
        <v>6</v>
      </c>
      <c r="J124" s="9">
        <v>5</v>
      </c>
      <c r="K124" s="9">
        <v>6</v>
      </c>
      <c r="L124" s="9">
        <v>11</v>
      </c>
      <c r="M124" s="9"/>
      <c r="N124" s="9"/>
      <c r="O124" s="9"/>
      <c r="P124" s="195">
        <f>+SUM(D124:O124)</f>
        <v>36</v>
      </c>
      <c r="Q124" s="196"/>
      <c r="R124" s="197"/>
      <c r="S124" s="198"/>
    </row>
    <row r="125" spans="1:19" ht="24.75" customHeight="1" x14ac:dyDescent="0.25">
      <c r="A125" s="194"/>
      <c r="B125" s="15"/>
      <c r="C125" s="46" t="s">
        <v>29</v>
      </c>
      <c r="D125" s="199">
        <f t="shared" ref="D125:O125" si="5">+SUM(D123:D124)</f>
        <v>577</v>
      </c>
      <c r="E125" s="199">
        <f t="shared" si="5"/>
        <v>380</v>
      </c>
      <c r="F125" s="199">
        <f t="shared" si="5"/>
        <v>490</v>
      </c>
      <c r="G125" s="199">
        <f t="shared" si="5"/>
        <v>560</v>
      </c>
      <c r="H125" s="199">
        <f t="shared" si="5"/>
        <v>1224</v>
      </c>
      <c r="I125" s="199">
        <f t="shared" si="5"/>
        <v>716</v>
      </c>
      <c r="J125" s="199">
        <f t="shared" si="5"/>
        <v>1150</v>
      </c>
      <c r="K125" s="199">
        <f t="shared" si="5"/>
        <v>1019</v>
      </c>
      <c r="L125" s="199">
        <f t="shared" si="5"/>
        <v>726</v>
      </c>
      <c r="M125" s="199">
        <f t="shared" si="5"/>
        <v>0</v>
      </c>
      <c r="N125" s="199">
        <f t="shared" si="5"/>
        <v>0</v>
      </c>
      <c r="O125" s="199">
        <f t="shared" si="5"/>
        <v>0</v>
      </c>
      <c r="P125" s="200">
        <f>+SUM(D125:O125)</f>
        <v>6842</v>
      </c>
      <c r="Q125" s="196"/>
      <c r="R125" s="197"/>
      <c r="S125" s="198"/>
    </row>
    <row r="126" spans="1:19" x14ac:dyDescent="0.25">
      <c r="A126" s="194"/>
      <c r="B126" s="51" t="s">
        <v>1</v>
      </c>
      <c r="C126" s="1" t="s">
        <v>43</v>
      </c>
      <c r="D126" s="189" t="s">
        <v>140</v>
      </c>
      <c r="E126" s="189"/>
      <c r="F126" s="189"/>
      <c r="G126" s="189"/>
      <c r="H126" s="189"/>
      <c r="I126" s="189"/>
      <c r="J126" s="189"/>
      <c r="K126" s="189"/>
      <c r="L126" s="189"/>
      <c r="M126" s="189"/>
      <c r="N126" s="189"/>
      <c r="O126" s="189"/>
      <c r="P126" s="189"/>
      <c r="Q126" s="189"/>
      <c r="R126" s="1" t="s">
        <v>4</v>
      </c>
      <c r="S126" s="1" t="s">
        <v>5</v>
      </c>
    </row>
    <row r="127" spans="1:19" x14ac:dyDescent="0.25">
      <c r="A127" s="194"/>
      <c r="B127" s="190"/>
      <c r="C127" s="1"/>
      <c r="D127" s="192">
        <v>32506</v>
      </c>
      <c r="E127" s="192">
        <v>16161</v>
      </c>
      <c r="F127" s="192">
        <v>39015</v>
      </c>
      <c r="G127" s="192">
        <v>23974</v>
      </c>
      <c r="H127" s="192">
        <v>31864</v>
      </c>
      <c r="I127" s="192">
        <v>38830</v>
      </c>
      <c r="J127" s="192">
        <v>45108</v>
      </c>
      <c r="K127" s="192">
        <v>61626</v>
      </c>
      <c r="L127" s="192">
        <v>48323</v>
      </c>
      <c r="M127" s="192">
        <v>79710</v>
      </c>
      <c r="N127" s="192">
        <v>28458</v>
      </c>
      <c r="O127" s="192">
        <v>19481</v>
      </c>
      <c r="P127" s="192">
        <f>+SUM(D127:O127)</f>
        <v>465056</v>
      </c>
      <c r="Q127" s="193" t="s">
        <v>6</v>
      </c>
      <c r="R127" s="1"/>
      <c r="S127" s="1"/>
    </row>
    <row r="128" spans="1:19" x14ac:dyDescent="0.25">
      <c r="A128" s="194"/>
      <c r="B128" s="190"/>
      <c r="C128" s="1"/>
      <c r="D128" s="192">
        <v>25065</v>
      </c>
      <c r="E128" s="192">
        <v>10723</v>
      </c>
      <c r="F128" s="192">
        <v>20837</v>
      </c>
      <c r="G128" s="192">
        <v>41589</v>
      </c>
      <c r="H128" s="192">
        <v>29615</v>
      </c>
      <c r="I128" s="192">
        <v>47256</v>
      </c>
      <c r="J128" s="192">
        <v>57354</v>
      </c>
      <c r="K128" s="192">
        <v>55647</v>
      </c>
      <c r="L128" s="192">
        <v>51001</v>
      </c>
      <c r="M128" s="192">
        <v>62553</v>
      </c>
      <c r="N128" s="192">
        <v>40801</v>
      </c>
      <c r="O128" s="192">
        <v>29004</v>
      </c>
      <c r="P128" s="192">
        <v>471445</v>
      </c>
      <c r="Q128" s="193" t="s">
        <v>7</v>
      </c>
      <c r="R128" s="1"/>
      <c r="S128" s="1"/>
    </row>
    <row r="129" spans="1:19" x14ac:dyDescent="0.25">
      <c r="A129" s="194"/>
      <c r="B129" s="190"/>
      <c r="C129" s="1"/>
      <c r="D129" s="192">
        <v>32167</v>
      </c>
      <c r="E129" s="192">
        <v>19459</v>
      </c>
      <c r="F129" s="192">
        <v>49174</v>
      </c>
      <c r="G129" s="192">
        <v>38635</v>
      </c>
      <c r="H129" s="192">
        <v>50035</v>
      </c>
      <c r="I129" s="192">
        <v>48635</v>
      </c>
      <c r="J129" s="192">
        <v>44251</v>
      </c>
      <c r="K129" s="192">
        <v>50504</v>
      </c>
      <c r="L129" s="192">
        <v>43422</v>
      </c>
      <c r="M129" s="192">
        <v>57292</v>
      </c>
      <c r="N129" s="192">
        <v>35465</v>
      </c>
      <c r="O129" s="192">
        <v>20229</v>
      </c>
      <c r="P129" s="192">
        <v>489268</v>
      </c>
      <c r="Q129" s="193" t="s">
        <v>8</v>
      </c>
      <c r="R129" s="1"/>
      <c r="S129" s="1"/>
    </row>
    <row r="130" spans="1:19" ht="13.5" customHeight="1" x14ac:dyDescent="0.25">
      <c r="A130" s="194"/>
      <c r="B130" s="58"/>
      <c r="C130" s="1"/>
      <c r="D130" s="6" t="s">
        <v>9</v>
      </c>
      <c r="E130" s="6" t="s">
        <v>10</v>
      </c>
      <c r="F130" s="6" t="s">
        <v>11</v>
      </c>
      <c r="G130" s="6" t="s">
        <v>12</v>
      </c>
      <c r="H130" s="6" t="s">
        <v>13</v>
      </c>
      <c r="I130" s="6" t="s">
        <v>14</v>
      </c>
      <c r="J130" s="6" t="s">
        <v>15</v>
      </c>
      <c r="K130" s="6" t="s">
        <v>16</v>
      </c>
      <c r="L130" s="6" t="s">
        <v>17</v>
      </c>
      <c r="M130" s="6" t="s">
        <v>18</v>
      </c>
      <c r="N130" s="6" t="s">
        <v>19</v>
      </c>
      <c r="O130" s="6" t="s">
        <v>20</v>
      </c>
      <c r="P130" s="6" t="s">
        <v>21</v>
      </c>
      <c r="Q130" s="6" t="s">
        <v>22</v>
      </c>
      <c r="R130" s="1"/>
      <c r="S130" s="1"/>
    </row>
    <row r="131" spans="1:19" ht="28.5" customHeight="1" x14ac:dyDescent="0.25">
      <c r="A131" s="194"/>
      <c r="B131" s="15" t="s">
        <v>141</v>
      </c>
      <c r="C131" s="9" t="s">
        <v>137</v>
      </c>
      <c r="D131" s="167">
        <v>53451</v>
      </c>
      <c r="E131" s="167">
        <v>16073</v>
      </c>
      <c r="F131" s="167">
        <v>34664</v>
      </c>
      <c r="G131" s="167">
        <v>56172</v>
      </c>
      <c r="H131" s="167">
        <v>45648</v>
      </c>
      <c r="I131" s="172">
        <v>45142</v>
      </c>
      <c r="J131" s="167">
        <v>68419</v>
      </c>
      <c r="K131" s="167">
        <v>55605</v>
      </c>
      <c r="L131" s="167">
        <v>42074</v>
      </c>
      <c r="M131" s="167"/>
      <c r="N131" s="167"/>
      <c r="O131" s="172"/>
      <c r="P131" s="201">
        <f>+SUM(D131:O131)</f>
        <v>417248</v>
      </c>
      <c r="Q131" s="196">
        <f>+P133/450000</f>
        <v>0.95535555555555551</v>
      </c>
      <c r="R131" s="197" t="s">
        <v>142</v>
      </c>
      <c r="S131" s="198" t="s">
        <v>93</v>
      </c>
    </row>
    <row r="132" spans="1:19" ht="52.5" customHeight="1" x14ac:dyDescent="0.25">
      <c r="A132" s="194"/>
      <c r="B132" s="15"/>
      <c r="C132" s="9" t="s">
        <v>139</v>
      </c>
      <c r="D132" s="167">
        <v>0</v>
      </c>
      <c r="E132" s="167">
        <v>67</v>
      </c>
      <c r="F132" s="167">
        <v>12</v>
      </c>
      <c r="G132" s="167">
        <v>166</v>
      </c>
      <c r="H132" s="167">
        <v>2515</v>
      </c>
      <c r="I132" s="202">
        <v>311</v>
      </c>
      <c r="J132" s="167">
        <v>1758</v>
      </c>
      <c r="K132" s="167">
        <v>6866</v>
      </c>
      <c r="L132" s="167">
        <v>967</v>
      </c>
      <c r="M132" s="167"/>
      <c r="N132" s="172"/>
      <c r="O132" s="172"/>
      <c r="P132" s="201">
        <f>+SUM(D132:O132)</f>
        <v>12662</v>
      </c>
      <c r="Q132" s="196"/>
      <c r="R132" s="197"/>
      <c r="S132" s="198"/>
    </row>
    <row r="133" spans="1:19" ht="24.75" customHeight="1" x14ac:dyDescent="0.25">
      <c r="A133" s="194"/>
      <c r="B133" s="15"/>
      <c r="C133" s="46" t="s">
        <v>29</v>
      </c>
      <c r="D133" s="199">
        <f t="shared" ref="D133:O133" si="6">+SUM(D131:D132)</f>
        <v>53451</v>
      </c>
      <c r="E133" s="199">
        <f t="shared" si="6"/>
        <v>16140</v>
      </c>
      <c r="F133" s="199">
        <f t="shared" si="6"/>
        <v>34676</v>
      </c>
      <c r="G133" s="199">
        <f t="shared" si="6"/>
        <v>56338</v>
      </c>
      <c r="H133" s="199">
        <f t="shared" si="6"/>
        <v>48163</v>
      </c>
      <c r="I133" s="199">
        <f t="shared" si="6"/>
        <v>45453</v>
      </c>
      <c r="J133" s="199">
        <f t="shared" si="6"/>
        <v>70177</v>
      </c>
      <c r="K133" s="199">
        <f t="shared" si="6"/>
        <v>62471</v>
      </c>
      <c r="L133" s="199">
        <f t="shared" si="6"/>
        <v>43041</v>
      </c>
      <c r="M133" s="199">
        <f t="shared" si="6"/>
        <v>0</v>
      </c>
      <c r="N133" s="199">
        <f t="shared" si="6"/>
        <v>0</v>
      </c>
      <c r="O133" s="199">
        <f t="shared" si="6"/>
        <v>0</v>
      </c>
      <c r="P133" s="200">
        <f>+SUM(D133:O133)</f>
        <v>429910</v>
      </c>
      <c r="Q133" s="196"/>
      <c r="R133" s="197"/>
      <c r="S133" s="198"/>
    </row>
    <row r="134" spans="1:19" x14ac:dyDescent="0.25">
      <c r="A134" s="194"/>
      <c r="B134" s="1" t="s">
        <v>1</v>
      </c>
      <c r="C134" s="1" t="s">
        <v>43</v>
      </c>
      <c r="D134" s="189" t="s">
        <v>143</v>
      </c>
      <c r="E134" s="189"/>
      <c r="F134" s="189"/>
      <c r="G134" s="189"/>
      <c r="H134" s="189"/>
      <c r="I134" s="189"/>
      <c r="J134" s="189"/>
      <c r="K134" s="189"/>
      <c r="L134" s="189"/>
      <c r="M134" s="189"/>
      <c r="N134" s="189"/>
      <c r="O134" s="189"/>
      <c r="P134" s="189"/>
      <c r="Q134" s="189"/>
      <c r="R134" s="1" t="s">
        <v>4</v>
      </c>
      <c r="S134" s="1" t="s">
        <v>5</v>
      </c>
    </row>
    <row r="135" spans="1:19" x14ac:dyDescent="0.25">
      <c r="A135" s="194"/>
      <c r="B135" s="1"/>
      <c r="C135" s="1"/>
      <c r="D135" s="203"/>
      <c r="E135" s="203"/>
      <c r="F135" s="203"/>
      <c r="G135" s="203"/>
      <c r="H135" s="203"/>
      <c r="I135" s="203"/>
      <c r="J135" s="203">
        <v>0</v>
      </c>
      <c r="K135" s="203">
        <v>0</v>
      </c>
      <c r="L135" s="203">
        <v>2</v>
      </c>
      <c r="M135" s="203">
        <v>1</v>
      </c>
      <c r="N135" s="203">
        <v>0</v>
      </c>
      <c r="O135" s="203">
        <v>0</v>
      </c>
      <c r="P135" s="203">
        <f>+SUM(J135:O135)</f>
        <v>3</v>
      </c>
      <c r="Q135" s="193" t="s">
        <v>6</v>
      </c>
      <c r="R135" s="1"/>
      <c r="S135" s="1"/>
    </row>
    <row r="136" spans="1:19" x14ac:dyDescent="0.25">
      <c r="A136" s="194"/>
      <c r="B136" s="1"/>
      <c r="C136" s="1"/>
      <c r="D136" s="203"/>
      <c r="E136" s="203"/>
      <c r="F136" s="203">
        <v>1</v>
      </c>
      <c r="G136" s="203">
        <v>1</v>
      </c>
      <c r="H136" s="203">
        <v>2</v>
      </c>
      <c r="I136" s="203">
        <v>1</v>
      </c>
      <c r="J136" s="203">
        <v>1</v>
      </c>
      <c r="K136" s="203"/>
      <c r="L136" s="203">
        <v>2</v>
      </c>
      <c r="M136" s="203"/>
      <c r="N136" s="203"/>
      <c r="O136" s="203">
        <v>2</v>
      </c>
      <c r="P136" s="203">
        <v>10</v>
      </c>
      <c r="Q136" s="193" t="s">
        <v>8</v>
      </c>
      <c r="R136" s="1"/>
      <c r="S136" s="1"/>
    </row>
    <row r="137" spans="1:19" x14ac:dyDescent="0.25">
      <c r="A137" s="194"/>
      <c r="B137" s="1"/>
      <c r="C137" s="1"/>
      <c r="D137" s="6" t="s">
        <v>9</v>
      </c>
      <c r="E137" s="6" t="s">
        <v>10</v>
      </c>
      <c r="F137" s="6" t="s">
        <v>11</v>
      </c>
      <c r="G137" s="6" t="s">
        <v>12</v>
      </c>
      <c r="H137" s="6" t="s">
        <v>13</v>
      </c>
      <c r="I137" s="6" t="s">
        <v>14</v>
      </c>
      <c r="J137" s="6" t="s">
        <v>15</v>
      </c>
      <c r="K137" s="6" t="s">
        <v>16</v>
      </c>
      <c r="L137" s="6" t="s">
        <v>17</v>
      </c>
      <c r="M137" s="6" t="s">
        <v>18</v>
      </c>
      <c r="N137" s="6" t="s">
        <v>19</v>
      </c>
      <c r="O137" s="6" t="s">
        <v>20</v>
      </c>
      <c r="P137" s="6" t="s">
        <v>21</v>
      </c>
      <c r="Q137" s="6" t="s">
        <v>22</v>
      </c>
      <c r="R137" s="1"/>
      <c r="S137" s="1"/>
    </row>
    <row r="138" spans="1:19" ht="48" customHeight="1" x14ac:dyDescent="0.25">
      <c r="A138" s="194"/>
      <c r="B138" s="87" t="s">
        <v>144</v>
      </c>
      <c r="C138" s="9" t="s">
        <v>145</v>
      </c>
      <c r="D138" s="203"/>
      <c r="E138" s="203"/>
      <c r="F138" s="10">
        <v>1</v>
      </c>
      <c r="G138" s="203"/>
      <c r="H138" s="203"/>
      <c r="I138" s="10">
        <v>3</v>
      </c>
      <c r="J138" s="203"/>
      <c r="K138" s="203"/>
      <c r="L138" s="10">
        <v>7</v>
      </c>
      <c r="M138" s="203"/>
      <c r="N138" s="203"/>
      <c r="O138" s="16"/>
      <c r="P138" s="200">
        <f>L138</f>
        <v>7</v>
      </c>
      <c r="Q138" s="66">
        <f>P138/10</f>
        <v>0.7</v>
      </c>
      <c r="R138" s="188" t="s">
        <v>146</v>
      </c>
      <c r="S138" s="184" t="s">
        <v>147</v>
      </c>
    </row>
    <row r="139" spans="1:19" x14ac:dyDescent="0.25">
      <c r="A139" s="1" t="s">
        <v>0</v>
      </c>
      <c r="B139" s="1" t="s">
        <v>1</v>
      </c>
      <c r="C139" s="1" t="s">
        <v>43</v>
      </c>
      <c r="D139" s="204" t="s">
        <v>148</v>
      </c>
      <c r="E139" s="204"/>
      <c r="F139" s="204"/>
      <c r="G139" s="204"/>
      <c r="H139" s="204"/>
      <c r="I139" s="204"/>
      <c r="J139" s="204"/>
      <c r="K139" s="204"/>
      <c r="L139" s="204"/>
      <c r="M139" s="204"/>
      <c r="N139" s="204"/>
      <c r="O139" s="204"/>
      <c r="P139" s="204"/>
      <c r="Q139" s="204"/>
      <c r="R139" s="1" t="s">
        <v>149</v>
      </c>
      <c r="S139" s="1" t="s">
        <v>5</v>
      </c>
    </row>
    <row r="140" spans="1:19" x14ac:dyDescent="0.25">
      <c r="A140" s="1"/>
      <c r="B140" s="1"/>
      <c r="C140" s="1"/>
      <c r="D140" s="205">
        <v>5</v>
      </c>
      <c r="E140" s="205">
        <v>5</v>
      </c>
      <c r="F140" s="205">
        <v>5</v>
      </c>
      <c r="G140" s="205">
        <v>5</v>
      </c>
      <c r="H140" s="205">
        <v>5</v>
      </c>
      <c r="I140" s="205">
        <v>5</v>
      </c>
      <c r="J140" s="205">
        <v>5</v>
      </c>
      <c r="K140" s="205">
        <v>5</v>
      </c>
      <c r="L140" s="205">
        <v>5</v>
      </c>
      <c r="M140" s="205">
        <v>5</v>
      </c>
      <c r="N140" s="205">
        <v>5</v>
      </c>
      <c r="O140" s="205">
        <v>5</v>
      </c>
      <c r="P140" s="205"/>
      <c r="Q140" s="206" t="s">
        <v>6</v>
      </c>
      <c r="R140" s="1"/>
      <c r="S140" s="1"/>
    </row>
    <row r="141" spans="1:19" x14ac:dyDescent="0.25">
      <c r="A141" s="1"/>
      <c r="B141" s="1"/>
      <c r="C141" s="1"/>
      <c r="D141" s="205"/>
      <c r="E141" s="205"/>
      <c r="F141" s="205">
        <v>1</v>
      </c>
      <c r="G141" s="205"/>
      <c r="H141" s="205"/>
      <c r="I141" s="205">
        <v>3</v>
      </c>
      <c r="J141" s="205"/>
      <c r="K141" s="205"/>
      <c r="L141" s="205">
        <v>3</v>
      </c>
      <c r="M141" s="205"/>
      <c r="N141" s="205"/>
      <c r="O141" s="205">
        <v>4</v>
      </c>
      <c r="P141" s="205">
        <v>4</v>
      </c>
      <c r="Q141" s="206" t="s">
        <v>8</v>
      </c>
      <c r="R141" s="1"/>
      <c r="S141" s="1"/>
    </row>
    <row r="142" spans="1:19" x14ac:dyDescent="0.25">
      <c r="A142" s="1"/>
      <c r="B142" s="1"/>
      <c r="C142" s="1"/>
      <c r="D142" s="6" t="s">
        <v>9</v>
      </c>
      <c r="E142" s="6" t="s">
        <v>10</v>
      </c>
      <c r="F142" s="6" t="s">
        <v>11</v>
      </c>
      <c r="G142" s="6" t="s">
        <v>12</v>
      </c>
      <c r="H142" s="6" t="s">
        <v>13</v>
      </c>
      <c r="I142" s="6" t="s">
        <v>14</v>
      </c>
      <c r="J142" s="6" t="s">
        <v>15</v>
      </c>
      <c r="K142" s="6" t="s">
        <v>16</v>
      </c>
      <c r="L142" s="6" t="s">
        <v>17</v>
      </c>
      <c r="M142" s="6" t="s">
        <v>18</v>
      </c>
      <c r="N142" s="6" t="s">
        <v>19</v>
      </c>
      <c r="O142" s="6" t="s">
        <v>20</v>
      </c>
      <c r="P142" s="6" t="s">
        <v>21</v>
      </c>
      <c r="Q142" s="6" t="s">
        <v>22</v>
      </c>
      <c r="R142" s="1"/>
      <c r="S142" s="1"/>
    </row>
    <row r="143" spans="1:19" ht="57.75" customHeight="1" x14ac:dyDescent="0.25">
      <c r="A143" s="207" t="s">
        <v>150</v>
      </c>
      <c r="B143" s="185" t="s">
        <v>151</v>
      </c>
      <c r="C143" s="146" t="s">
        <v>152</v>
      </c>
      <c r="D143" s="208"/>
      <c r="E143" s="208"/>
      <c r="F143" s="16">
        <v>0</v>
      </c>
      <c r="G143" s="208"/>
      <c r="H143" s="208"/>
      <c r="I143" s="16">
        <v>0</v>
      </c>
      <c r="J143" s="208"/>
      <c r="K143" s="208"/>
      <c r="L143" s="16">
        <v>3</v>
      </c>
      <c r="M143" s="208"/>
      <c r="N143" s="208"/>
      <c r="O143" s="16"/>
      <c r="P143" s="132">
        <f>L143</f>
        <v>3</v>
      </c>
      <c r="Q143" s="209">
        <f>P143/4</f>
        <v>0.75</v>
      </c>
      <c r="R143" s="188" t="s">
        <v>153</v>
      </c>
      <c r="S143" s="184" t="s">
        <v>154</v>
      </c>
    </row>
    <row r="144" spans="1:19" x14ac:dyDescent="0.25">
      <c r="A144" s="207"/>
      <c r="B144" s="1" t="s">
        <v>1</v>
      </c>
      <c r="C144" s="1" t="s">
        <v>43</v>
      </c>
      <c r="D144" s="204" t="s">
        <v>155</v>
      </c>
      <c r="E144" s="204"/>
      <c r="F144" s="204"/>
      <c r="G144" s="204"/>
      <c r="H144" s="204"/>
      <c r="I144" s="204"/>
      <c r="J144" s="204"/>
      <c r="K144" s="204"/>
      <c r="L144" s="204"/>
      <c r="M144" s="204"/>
      <c r="N144" s="204"/>
      <c r="O144" s="204"/>
      <c r="P144" s="204"/>
      <c r="Q144" s="204"/>
      <c r="R144" s="1" t="s">
        <v>4</v>
      </c>
      <c r="S144" s="1" t="s">
        <v>5</v>
      </c>
    </row>
    <row r="145" spans="1:19" x14ac:dyDescent="0.25">
      <c r="A145" s="207"/>
      <c r="B145" s="1"/>
      <c r="C145" s="1"/>
      <c r="D145" s="205">
        <v>2</v>
      </c>
      <c r="E145" s="205">
        <v>2</v>
      </c>
      <c r="F145" s="205">
        <v>2</v>
      </c>
      <c r="G145" s="205">
        <v>2</v>
      </c>
      <c r="H145" s="205">
        <v>2</v>
      </c>
      <c r="I145" s="205">
        <v>2</v>
      </c>
      <c r="J145" s="205">
        <v>2</v>
      </c>
      <c r="K145" s="205">
        <v>2</v>
      </c>
      <c r="L145" s="205">
        <v>2</v>
      </c>
      <c r="M145" s="205">
        <v>2</v>
      </c>
      <c r="N145" s="205">
        <v>2</v>
      </c>
      <c r="O145" s="205">
        <v>2</v>
      </c>
      <c r="P145" s="205"/>
      <c r="Q145" s="206" t="s">
        <v>6</v>
      </c>
      <c r="R145" s="1"/>
      <c r="S145" s="1"/>
    </row>
    <row r="146" spans="1:19" x14ac:dyDescent="0.25">
      <c r="A146" s="207"/>
      <c r="B146" s="1"/>
      <c r="C146" s="1"/>
      <c r="D146" s="205"/>
      <c r="E146" s="205"/>
      <c r="F146" s="205">
        <v>2</v>
      </c>
      <c r="G146" s="205"/>
      <c r="H146" s="205"/>
      <c r="I146" s="205">
        <v>2</v>
      </c>
      <c r="J146" s="205"/>
      <c r="K146" s="205"/>
      <c r="L146" s="205">
        <v>5</v>
      </c>
      <c r="M146" s="205"/>
      <c r="N146" s="205"/>
      <c r="O146" s="205">
        <v>5</v>
      </c>
      <c r="P146" s="205">
        <v>5</v>
      </c>
      <c r="Q146" s="206" t="s">
        <v>8</v>
      </c>
      <c r="R146" s="1"/>
      <c r="S146" s="1"/>
    </row>
    <row r="147" spans="1:19" x14ac:dyDescent="0.25">
      <c r="A147" s="207"/>
      <c r="B147" s="1"/>
      <c r="C147" s="1"/>
      <c r="D147" s="6" t="s">
        <v>9</v>
      </c>
      <c r="E147" s="6" t="s">
        <v>10</v>
      </c>
      <c r="F147" s="6" t="s">
        <v>11</v>
      </c>
      <c r="G147" s="6" t="s">
        <v>12</v>
      </c>
      <c r="H147" s="6" t="s">
        <v>13</v>
      </c>
      <c r="I147" s="6" t="s">
        <v>14</v>
      </c>
      <c r="J147" s="6" t="s">
        <v>15</v>
      </c>
      <c r="K147" s="6" t="s">
        <v>16</v>
      </c>
      <c r="L147" s="6" t="s">
        <v>17</v>
      </c>
      <c r="M147" s="6" t="s">
        <v>18</v>
      </c>
      <c r="N147" s="6" t="s">
        <v>19</v>
      </c>
      <c r="O147" s="6" t="s">
        <v>20</v>
      </c>
      <c r="P147" s="6" t="s">
        <v>21</v>
      </c>
      <c r="Q147" s="6" t="s">
        <v>22</v>
      </c>
      <c r="R147" s="1"/>
      <c r="S147" s="1"/>
    </row>
    <row r="148" spans="1:19" ht="60.75" customHeight="1" x14ac:dyDescent="0.25">
      <c r="A148" s="207"/>
      <c r="B148" s="87" t="s">
        <v>156</v>
      </c>
      <c r="C148" s="146" t="s">
        <v>152</v>
      </c>
      <c r="D148" s="208"/>
      <c r="E148" s="208"/>
      <c r="F148" s="16">
        <v>0</v>
      </c>
      <c r="G148" s="208"/>
      <c r="H148" s="208"/>
      <c r="I148" s="16">
        <v>0</v>
      </c>
      <c r="J148" s="208"/>
      <c r="K148" s="208"/>
      <c r="L148" s="16">
        <v>5</v>
      </c>
      <c r="M148" s="208"/>
      <c r="N148" s="208"/>
      <c r="O148" s="16"/>
      <c r="P148" s="132">
        <f>L148</f>
        <v>5</v>
      </c>
      <c r="Q148" s="209">
        <f>+P148/5</f>
        <v>1</v>
      </c>
      <c r="R148" s="188" t="s">
        <v>157</v>
      </c>
      <c r="S148" s="184" t="s">
        <v>158</v>
      </c>
    </row>
    <row r="149" spans="1:19" x14ac:dyDescent="0.25">
      <c r="A149" s="207"/>
      <c r="B149" s="1" t="s">
        <v>1</v>
      </c>
      <c r="C149" s="1" t="s">
        <v>43</v>
      </c>
      <c r="D149" s="204" t="s">
        <v>159</v>
      </c>
      <c r="E149" s="204"/>
      <c r="F149" s="204"/>
      <c r="G149" s="204"/>
      <c r="H149" s="204"/>
      <c r="I149" s="204"/>
      <c r="J149" s="204"/>
      <c r="K149" s="204"/>
      <c r="L149" s="204"/>
      <c r="M149" s="204"/>
      <c r="N149" s="204"/>
      <c r="O149" s="204"/>
      <c r="P149" s="204"/>
      <c r="Q149" s="204"/>
      <c r="R149" s="1" t="s">
        <v>4</v>
      </c>
      <c r="S149" s="1" t="s">
        <v>5</v>
      </c>
    </row>
    <row r="150" spans="1:19" ht="27.75" customHeight="1" x14ac:dyDescent="0.25">
      <c r="A150" s="207"/>
      <c r="B150" s="1"/>
      <c r="C150" s="1"/>
      <c r="D150" s="210">
        <v>12088</v>
      </c>
      <c r="E150" s="210">
        <v>5317</v>
      </c>
      <c r="F150" s="210">
        <v>216500</v>
      </c>
      <c r="G150" s="210">
        <v>32768</v>
      </c>
      <c r="H150" s="210">
        <v>17455</v>
      </c>
      <c r="I150" s="210">
        <v>12308</v>
      </c>
      <c r="J150" s="211">
        <v>19529</v>
      </c>
      <c r="K150" s="211">
        <v>217286</v>
      </c>
      <c r="L150" s="211">
        <v>98075</v>
      </c>
      <c r="M150" s="211">
        <v>230115</v>
      </c>
      <c r="N150" s="211">
        <v>170287</v>
      </c>
      <c r="O150" s="211">
        <v>56851</v>
      </c>
      <c r="P150" s="212">
        <f>+SUM(D150:O150)</f>
        <v>1088579</v>
      </c>
      <c r="Q150" s="206" t="s">
        <v>6</v>
      </c>
      <c r="R150" s="1"/>
      <c r="S150" s="1"/>
    </row>
    <row r="151" spans="1:19" ht="27.75" customHeight="1" x14ac:dyDescent="0.25">
      <c r="A151" s="207"/>
      <c r="B151" s="1"/>
      <c r="C151" s="1"/>
      <c r="D151" s="210">
        <v>5060</v>
      </c>
      <c r="E151" s="210">
        <v>5906</v>
      </c>
      <c r="F151" s="210">
        <v>12868</v>
      </c>
      <c r="G151" s="210">
        <v>24078</v>
      </c>
      <c r="H151" s="210">
        <v>37881</v>
      </c>
      <c r="I151" s="210">
        <v>85514</v>
      </c>
      <c r="J151" s="211">
        <v>267901</v>
      </c>
      <c r="K151" s="211">
        <v>110294</v>
      </c>
      <c r="L151" s="211">
        <v>143558</v>
      </c>
      <c r="M151" s="213">
        <v>186839</v>
      </c>
      <c r="N151" s="213">
        <v>120604</v>
      </c>
      <c r="O151" s="213">
        <v>280069</v>
      </c>
      <c r="P151" s="214">
        <v>1280572</v>
      </c>
      <c r="Q151" s="206" t="s">
        <v>7</v>
      </c>
      <c r="R151" s="1"/>
      <c r="S151" s="1"/>
    </row>
    <row r="152" spans="1:19" ht="27.75" customHeight="1" x14ac:dyDescent="0.25">
      <c r="A152" s="207"/>
      <c r="B152" s="1"/>
      <c r="C152" s="1"/>
      <c r="D152" s="210">
        <v>5830</v>
      </c>
      <c r="E152" s="210">
        <v>19182</v>
      </c>
      <c r="F152" s="210">
        <v>28051</v>
      </c>
      <c r="G152" s="210">
        <v>54125</v>
      </c>
      <c r="H152" s="210">
        <v>25038</v>
      </c>
      <c r="I152" s="210">
        <v>21620</v>
      </c>
      <c r="J152" s="211">
        <v>35933</v>
      </c>
      <c r="K152" s="211">
        <v>199026</v>
      </c>
      <c r="L152" s="211">
        <v>183123</v>
      </c>
      <c r="M152" s="213">
        <v>109790</v>
      </c>
      <c r="N152" s="213">
        <v>199546</v>
      </c>
      <c r="O152" s="213">
        <v>205718</v>
      </c>
      <c r="P152" s="214">
        <v>1072577</v>
      </c>
      <c r="Q152" s="206" t="s">
        <v>8</v>
      </c>
      <c r="R152" s="1"/>
      <c r="S152" s="1"/>
    </row>
    <row r="153" spans="1:19" x14ac:dyDescent="0.25">
      <c r="A153" s="207"/>
      <c r="B153" s="1"/>
      <c r="C153" s="1"/>
      <c r="D153" s="6" t="s">
        <v>9</v>
      </c>
      <c r="E153" s="6" t="s">
        <v>10</v>
      </c>
      <c r="F153" s="6" t="s">
        <v>11</v>
      </c>
      <c r="G153" s="6" t="s">
        <v>12</v>
      </c>
      <c r="H153" s="6" t="s">
        <v>13</v>
      </c>
      <c r="I153" s="6" t="s">
        <v>14</v>
      </c>
      <c r="J153" s="6" t="s">
        <v>15</v>
      </c>
      <c r="K153" s="6" t="s">
        <v>16</v>
      </c>
      <c r="L153" s="6" t="s">
        <v>17</v>
      </c>
      <c r="M153" s="29" t="s">
        <v>18</v>
      </c>
      <c r="N153" s="29" t="s">
        <v>19</v>
      </c>
      <c r="O153" s="29" t="s">
        <v>20</v>
      </c>
      <c r="P153" s="29" t="s">
        <v>21</v>
      </c>
      <c r="Q153" s="29" t="s">
        <v>22</v>
      </c>
      <c r="R153" s="1"/>
      <c r="S153" s="1"/>
    </row>
    <row r="154" spans="1:19" ht="24.95" customHeight="1" x14ac:dyDescent="0.25">
      <c r="A154" s="207"/>
      <c r="B154" s="15" t="s">
        <v>160</v>
      </c>
      <c r="C154" s="146" t="s">
        <v>161</v>
      </c>
      <c r="D154" s="215">
        <v>0</v>
      </c>
      <c r="E154" s="215">
        <v>0</v>
      </c>
      <c r="F154" s="215">
        <v>0</v>
      </c>
      <c r="G154" s="215">
        <v>0</v>
      </c>
      <c r="H154" s="216">
        <v>413</v>
      </c>
      <c r="I154" s="216">
        <v>265</v>
      </c>
      <c r="J154" s="216">
        <v>2085</v>
      </c>
      <c r="K154" s="216">
        <v>7108</v>
      </c>
      <c r="L154" s="216">
        <v>5847</v>
      </c>
      <c r="M154" s="215"/>
      <c r="N154" s="215"/>
      <c r="O154" s="215"/>
      <c r="P154" s="217">
        <f>SUM(D154:O154)</f>
        <v>15718</v>
      </c>
      <c r="Q154" s="218">
        <f>P164/1100000</f>
        <v>0.84972727272727278</v>
      </c>
      <c r="R154" s="219" t="s">
        <v>162</v>
      </c>
      <c r="S154" s="166" t="s">
        <v>163</v>
      </c>
    </row>
    <row r="155" spans="1:19" ht="24.95" customHeight="1" x14ac:dyDescent="0.25">
      <c r="A155" s="207"/>
      <c r="B155" s="15"/>
      <c r="C155" s="220" t="s">
        <v>164</v>
      </c>
      <c r="D155" s="215">
        <v>0</v>
      </c>
      <c r="E155" s="215">
        <v>0</v>
      </c>
      <c r="F155" s="215">
        <v>0</v>
      </c>
      <c r="G155" s="215">
        <v>4004</v>
      </c>
      <c r="H155" s="215">
        <v>4727</v>
      </c>
      <c r="I155" s="215">
        <v>1440</v>
      </c>
      <c r="J155" s="215">
        <v>0</v>
      </c>
      <c r="K155" s="215">
        <v>0</v>
      </c>
      <c r="L155" s="215">
        <f>117+1332</f>
        <v>1449</v>
      </c>
      <c r="M155" s="215"/>
      <c r="N155" s="215"/>
      <c r="O155" s="215"/>
      <c r="P155" s="217">
        <f>SUM(D155:O155)</f>
        <v>11620</v>
      </c>
      <c r="Q155" s="218"/>
      <c r="R155" s="221"/>
      <c r="S155" s="166"/>
    </row>
    <row r="156" spans="1:19" ht="24.95" customHeight="1" x14ac:dyDescent="0.25">
      <c r="A156" s="207"/>
      <c r="B156" s="15"/>
      <c r="C156" s="220" t="s">
        <v>165</v>
      </c>
      <c r="D156" s="215">
        <v>0</v>
      </c>
      <c r="E156" s="215">
        <v>0</v>
      </c>
      <c r="F156" s="215">
        <v>0</v>
      </c>
      <c r="G156" s="215">
        <v>0</v>
      </c>
      <c r="H156" s="215">
        <v>0</v>
      </c>
      <c r="I156" s="215">
        <v>0</v>
      </c>
      <c r="J156" s="215">
        <v>0</v>
      </c>
      <c r="K156" s="215">
        <v>0</v>
      </c>
      <c r="L156" s="215">
        <v>0</v>
      </c>
      <c r="M156" s="215"/>
      <c r="N156" s="215"/>
      <c r="O156" s="215"/>
      <c r="P156" s="217">
        <f>SUM(D156:O156)</f>
        <v>0</v>
      </c>
      <c r="Q156" s="218"/>
      <c r="R156" s="221"/>
      <c r="S156" s="166"/>
    </row>
    <row r="157" spans="1:19" ht="24.95" customHeight="1" x14ac:dyDescent="0.25">
      <c r="A157" s="207"/>
      <c r="B157" s="15"/>
      <c r="C157" s="9" t="s">
        <v>46</v>
      </c>
      <c r="D157" s="215">
        <v>0</v>
      </c>
      <c r="E157" s="215">
        <v>0</v>
      </c>
      <c r="F157" s="215">
        <v>155</v>
      </c>
      <c r="G157" s="215">
        <v>161</v>
      </c>
      <c r="H157" s="215">
        <v>866</v>
      </c>
      <c r="I157" s="215">
        <v>171</v>
      </c>
      <c r="J157" s="215">
        <v>6577</v>
      </c>
      <c r="K157" s="215">
        <v>40457</v>
      </c>
      <c r="L157" s="215">
        <v>88304</v>
      </c>
      <c r="M157" s="215"/>
      <c r="N157" s="215"/>
      <c r="O157" s="215"/>
      <c r="P157" s="217">
        <f>SUM(D157:O157)</f>
        <v>136691</v>
      </c>
      <c r="Q157" s="218"/>
      <c r="R157" s="221"/>
      <c r="S157" s="166"/>
    </row>
    <row r="158" spans="1:19" ht="24.95" customHeight="1" x14ac:dyDescent="0.25">
      <c r="A158" s="207"/>
      <c r="B158" s="15"/>
      <c r="C158" s="9" t="s">
        <v>166</v>
      </c>
      <c r="D158" s="215">
        <v>0</v>
      </c>
      <c r="E158" s="216">
        <v>7478</v>
      </c>
      <c r="F158" s="216">
        <v>4466</v>
      </c>
      <c r="G158" s="216">
        <v>3208</v>
      </c>
      <c r="H158" s="216">
        <v>4838</v>
      </c>
      <c r="I158" s="216">
        <v>14537</v>
      </c>
      <c r="J158" s="215">
        <v>17688</v>
      </c>
      <c r="K158" s="215">
        <v>16026</v>
      </c>
      <c r="L158" s="215">
        <v>14668</v>
      </c>
      <c r="M158" s="215"/>
      <c r="N158" s="215"/>
      <c r="O158" s="215"/>
      <c r="P158" s="217">
        <f>SUM(D158:O158)</f>
        <v>82909</v>
      </c>
      <c r="Q158" s="218"/>
      <c r="R158" s="221"/>
      <c r="S158" s="166"/>
    </row>
    <row r="159" spans="1:19" ht="24.95" customHeight="1" x14ac:dyDescent="0.25">
      <c r="A159" s="207"/>
      <c r="B159" s="15"/>
      <c r="C159" s="9" t="s">
        <v>167</v>
      </c>
      <c r="D159" s="215">
        <v>0</v>
      </c>
      <c r="E159" s="216">
        <v>930</v>
      </c>
      <c r="F159" s="216">
        <v>3131</v>
      </c>
      <c r="G159" s="216">
        <v>1888</v>
      </c>
      <c r="H159" s="216">
        <v>5163</v>
      </c>
      <c r="I159" s="216">
        <v>3378</v>
      </c>
      <c r="J159" s="215">
        <v>3867</v>
      </c>
      <c r="K159" s="215">
        <v>85346</v>
      </c>
      <c r="L159" s="215">
        <v>18282</v>
      </c>
      <c r="M159" s="215"/>
      <c r="N159" s="215"/>
      <c r="O159" s="215"/>
      <c r="P159" s="217">
        <f>SUM(D159:O159)</f>
        <v>121985</v>
      </c>
      <c r="Q159" s="218"/>
      <c r="R159" s="221"/>
      <c r="S159" s="166"/>
    </row>
    <row r="160" spans="1:19" ht="24.95" customHeight="1" x14ac:dyDescent="0.25">
      <c r="A160" s="222"/>
      <c r="B160" s="38"/>
      <c r="C160" s="9" t="s">
        <v>168</v>
      </c>
      <c r="D160" s="215">
        <v>0</v>
      </c>
      <c r="E160" s="215">
        <v>0</v>
      </c>
      <c r="F160" s="216">
        <v>860</v>
      </c>
      <c r="G160" s="216">
        <v>2293</v>
      </c>
      <c r="H160" s="216">
        <v>1793</v>
      </c>
      <c r="I160" s="215">
        <v>3533</v>
      </c>
      <c r="J160" s="215">
        <v>5281</v>
      </c>
      <c r="K160" s="215">
        <v>2754</v>
      </c>
      <c r="L160" s="215">
        <v>2311</v>
      </c>
      <c r="M160" s="215"/>
      <c r="N160" s="215"/>
      <c r="O160" s="215"/>
      <c r="P160" s="217">
        <f>SUM(D160:O160)</f>
        <v>18825</v>
      </c>
      <c r="Q160" s="218"/>
      <c r="R160" s="221"/>
      <c r="S160" s="166"/>
    </row>
    <row r="161" spans="1:19" ht="24.95" customHeight="1" x14ac:dyDescent="0.25">
      <c r="A161" s="223"/>
      <c r="B161" s="40"/>
      <c r="C161" s="41" t="s">
        <v>169</v>
      </c>
      <c r="D161" s="215">
        <v>0</v>
      </c>
      <c r="E161" s="215">
        <v>99</v>
      </c>
      <c r="F161" s="215">
        <v>4621</v>
      </c>
      <c r="G161" s="215">
        <v>0</v>
      </c>
      <c r="H161" s="215">
        <v>4039</v>
      </c>
      <c r="I161" s="215">
        <v>127759</v>
      </c>
      <c r="J161" s="215">
        <v>6331</v>
      </c>
      <c r="K161" s="215">
        <v>17544</v>
      </c>
      <c r="L161" s="215">
        <v>3241</v>
      </c>
      <c r="M161" s="215"/>
      <c r="N161" s="215"/>
      <c r="O161" s="215"/>
      <c r="P161" s="217">
        <f>SUM(D161:O161)</f>
        <v>163634</v>
      </c>
      <c r="Q161" s="218"/>
      <c r="R161" s="221"/>
      <c r="S161" s="166"/>
    </row>
    <row r="162" spans="1:19" ht="24.95" customHeight="1" x14ac:dyDescent="0.25">
      <c r="A162" s="224"/>
      <c r="B162" s="43"/>
      <c r="C162" s="9" t="s">
        <v>170</v>
      </c>
      <c r="D162" s="215">
        <v>183</v>
      </c>
      <c r="E162" s="215"/>
      <c r="F162" s="215">
        <v>11</v>
      </c>
      <c r="G162" s="215">
        <v>99</v>
      </c>
      <c r="H162" s="216">
        <v>764</v>
      </c>
      <c r="I162" s="215">
        <v>328</v>
      </c>
      <c r="J162" s="215">
        <v>343282</v>
      </c>
      <c r="K162" s="215">
        <v>1105</v>
      </c>
      <c r="L162" s="216">
        <v>35395</v>
      </c>
      <c r="M162" s="215"/>
      <c r="N162" s="215"/>
      <c r="O162" s="215"/>
      <c r="P162" s="217">
        <f>SUM(D162:O162)</f>
        <v>381167</v>
      </c>
      <c r="Q162" s="218"/>
      <c r="R162" s="221"/>
      <c r="S162" s="166"/>
    </row>
    <row r="163" spans="1:19" ht="24.95" customHeight="1" x14ac:dyDescent="0.25">
      <c r="A163" s="207"/>
      <c r="B163" s="15"/>
      <c r="C163" s="146" t="s">
        <v>171</v>
      </c>
      <c r="D163" s="215">
        <v>0</v>
      </c>
      <c r="E163" s="215">
        <v>429</v>
      </c>
      <c r="F163" s="215">
        <v>878</v>
      </c>
      <c r="G163" s="215">
        <v>1096</v>
      </c>
      <c r="H163" s="215">
        <v>1350</v>
      </c>
      <c r="I163" s="215">
        <v>1548</v>
      </c>
      <c r="J163" s="215">
        <v>1980</v>
      </c>
      <c r="K163" s="215">
        <v>2191</v>
      </c>
      <c r="L163" s="215">
        <v>2467</v>
      </c>
      <c r="M163" s="215"/>
      <c r="N163" s="215"/>
      <c r="O163" s="215"/>
      <c r="P163" s="217">
        <f>L163</f>
        <v>2467</v>
      </c>
      <c r="Q163" s="218"/>
      <c r="R163" s="221"/>
      <c r="S163" s="166"/>
    </row>
    <row r="164" spans="1:19" s="231" customFormat="1" ht="24.95" customHeight="1" x14ac:dyDescent="0.25">
      <c r="A164" s="207"/>
      <c r="B164" s="15"/>
      <c r="C164" s="46" t="s">
        <v>111</v>
      </c>
      <c r="D164" s="225">
        <f t="shared" ref="D164:O164" si="7">+SUM(D154:D163)</f>
        <v>183</v>
      </c>
      <c r="E164" s="226">
        <f t="shared" si="7"/>
        <v>8936</v>
      </c>
      <c r="F164" s="225">
        <f t="shared" si="7"/>
        <v>14122</v>
      </c>
      <c r="G164" s="225">
        <f t="shared" si="7"/>
        <v>12749</v>
      </c>
      <c r="H164" s="225">
        <f t="shared" si="7"/>
        <v>23953</v>
      </c>
      <c r="I164" s="225">
        <f t="shared" si="7"/>
        <v>152959</v>
      </c>
      <c r="J164" s="225">
        <f t="shared" si="7"/>
        <v>387091</v>
      </c>
      <c r="K164" s="225">
        <f t="shared" si="7"/>
        <v>172531</v>
      </c>
      <c r="L164" s="227">
        <f t="shared" si="7"/>
        <v>171964</v>
      </c>
      <c r="M164" s="228">
        <f t="shared" si="7"/>
        <v>0</v>
      </c>
      <c r="N164" s="228">
        <f t="shared" si="7"/>
        <v>0</v>
      </c>
      <c r="O164" s="228">
        <f t="shared" si="7"/>
        <v>0</v>
      </c>
      <c r="P164" s="229">
        <f>SUM(P154:P163)-210-106</f>
        <v>934700</v>
      </c>
      <c r="Q164" s="218"/>
      <c r="R164" s="230"/>
      <c r="S164" s="166"/>
    </row>
    <row r="165" spans="1:19" ht="36.75" customHeight="1" x14ac:dyDescent="0.25">
      <c r="A165" s="207"/>
      <c r="B165" s="1" t="s">
        <v>1</v>
      </c>
      <c r="C165" s="1" t="s">
        <v>43</v>
      </c>
      <c r="D165" s="204" t="s">
        <v>172</v>
      </c>
      <c r="E165" s="204"/>
      <c r="F165" s="204"/>
      <c r="G165" s="204"/>
      <c r="H165" s="204"/>
      <c r="I165" s="204"/>
      <c r="J165" s="204"/>
      <c r="K165" s="204"/>
      <c r="L165" s="204"/>
      <c r="M165" s="232"/>
      <c r="N165" s="232"/>
      <c r="O165" s="232"/>
      <c r="P165" s="232"/>
      <c r="Q165" s="232"/>
      <c r="R165" s="1" t="s">
        <v>4</v>
      </c>
      <c r="S165" s="1" t="s">
        <v>5</v>
      </c>
    </row>
    <row r="166" spans="1:19" ht="22.5" customHeight="1" x14ac:dyDescent="0.25">
      <c r="A166" s="207"/>
      <c r="B166" s="1"/>
      <c r="C166" s="1"/>
      <c r="D166" s="233">
        <v>560</v>
      </c>
      <c r="E166" s="233">
        <v>175</v>
      </c>
      <c r="F166" s="233">
        <v>499</v>
      </c>
      <c r="G166" s="233">
        <v>683</v>
      </c>
      <c r="H166" s="233">
        <v>336</v>
      </c>
      <c r="I166" s="233">
        <v>466</v>
      </c>
      <c r="J166" s="233">
        <v>785</v>
      </c>
      <c r="K166" s="233">
        <v>795</v>
      </c>
      <c r="L166" s="233">
        <v>1758</v>
      </c>
      <c r="M166" s="233">
        <v>2235</v>
      </c>
      <c r="N166" s="233">
        <v>1878</v>
      </c>
      <c r="O166" s="233">
        <v>1089</v>
      </c>
      <c r="P166" s="210">
        <f>+SUM(D166:O166)</f>
        <v>11259</v>
      </c>
      <c r="Q166" s="206" t="s">
        <v>6</v>
      </c>
      <c r="R166" s="1"/>
      <c r="S166" s="1"/>
    </row>
    <row r="167" spans="1:19" ht="22.5" customHeight="1" x14ac:dyDescent="0.25">
      <c r="A167" s="207"/>
      <c r="B167" s="1"/>
      <c r="C167" s="1"/>
      <c r="D167" s="233">
        <v>148</v>
      </c>
      <c r="E167" s="233">
        <v>135</v>
      </c>
      <c r="F167" s="233">
        <v>276</v>
      </c>
      <c r="G167" s="233">
        <v>304</v>
      </c>
      <c r="H167" s="233">
        <v>346</v>
      </c>
      <c r="I167" s="233">
        <v>759</v>
      </c>
      <c r="J167" s="233">
        <v>790</v>
      </c>
      <c r="K167" s="233">
        <v>1020</v>
      </c>
      <c r="L167" s="233">
        <v>1371</v>
      </c>
      <c r="M167" s="233">
        <v>2839</v>
      </c>
      <c r="N167" s="233">
        <v>1218</v>
      </c>
      <c r="O167" s="233">
        <v>3034</v>
      </c>
      <c r="P167" s="210">
        <v>12240</v>
      </c>
      <c r="Q167" s="206" t="s">
        <v>7</v>
      </c>
      <c r="R167" s="1"/>
      <c r="S167" s="1"/>
    </row>
    <row r="168" spans="1:19" ht="22.5" customHeight="1" x14ac:dyDescent="0.25">
      <c r="A168" s="207"/>
      <c r="B168" s="1"/>
      <c r="C168" s="1"/>
      <c r="D168" s="233">
        <v>101</v>
      </c>
      <c r="E168" s="233">
        <v>781</v>
      </c>
      <c r="F168" s="233">
        <v>755</v>
      </c>
      <c r="G168" s="233">
        <v>919</v>
      </c>
      <c r="H168" s="233">
        <v>1728</v>
      </c>
      <c r="I168" s="233">
        <v>1979</v>
      </c>
      <c r="J168" s="233">
        <v>2355</v>
      </c>
      <c r="K168" s="233">
        <v>2663</v>
      </c>
      <c r="L168" s="233">
        <v>4062</v>
      </c>
      <c r="M168" s="233">
        <v>3954</v>
      </c>
      <c r="N168" s="233">
        <v>5324</v>
      </c>
      <c r="O168" s="233">
        <v>6228</v>
      </c>
      <c r="P168" s="210">
        <v>12668</v>
      </c>
      <c r="Q168" s="206" t="s">
        <v>8</v>
      </c>
      <c r="R168" s="1"/>
      <c r="S168" s="1"/>
    </row>
    <row r="169" spans="1:19" ht="20.25" customHeight="1" x14ac:dyDescent="0.25">
      <c r="A169" s="207"/>
      <c r="B169" s="1"/>
      <c r="C169" s="1"/>
      <c r="D169" s="6" t="s">
        <v>9</v>
      </c>
      <c r="E169" s="6" t="s">
        <v>10</v>
      </c>
      <c r="F169" s="6" t="s">
        <v>11</v>
      </c>
      <c r="G169" s="6" t="s">
        <v>12</v>
      </c>
      <c r="H169" s="6" t="s">
        <v>13</v>
      </c>
      <c r="I169" s="6" t="s">
        <v>14</v>
      </c>
      <c r="J169" s="6" t="s">
        <v>15</v>
      </c>
      <c r="K169" s="6" t="s">
        <v>16</v>
      </c>
      <c r="L169" s="6" t="s">
        <v>17</v>
      </c>
      <c r="M169" s="6" t="s">
        <v>18</v>
      </c>
      <c r="N169" s="6" t="s">
        <v>19</v>
      </c>
      <c r="O169" s="6" t="s">
        <v>20</v>
      </c>
      <c r="P169" s="6" t="s">
        <v>21</v>
      </c>
      <c r="Q169" s="6" t="s">
        <v>22</v>
      </c>
      <c r="R169" s="1"/>
      <c r="S169" s="1"/>
    </row>
    <row r="170" spans="1:19" s="171" customFormat="1" ht="25.5" customHeight="1" x14ac:dyDescent="0.25">
      <c r="A170" s="207"/>
      <c r="B170" s="197" t="s">
        <v>173</v>
      </c>
      <c r="C170" s="146" t="s">
        <v>161</v>
      </c>
      <c r="D170" s="234"/>
      <c r="E170" s="234">
        <v>0</v>
      </c>
      <c r="F170" s="234">
        <v>0</v>
      </c>
      <c r="G170" s="234">
        <v>0</v>
      </c>
      <c r="H170" s="235">
        <v>32</v>
      </c>
      <c r="I170" s="235">
        <v>21</v>
      </c>
      <c r="J170" s="235">
        <v>55</v>
      </c>
      <c r="K170" s="235">
        <v>145</v>
      </c>
      <c r="L170" s="235">
        <v>213</v>
      </c>
      <c r="M170" s="234"/>
      <c r="N170" s="234"/>
      <c r="O170" s="234"/>
      <c r="P170" s="236">
        <f>+SUM(D170:O170)</f>
        <v>466</v>
      </c>
      <c r="Q170" s="196">
        <f>+P180/11100</f>
        <v>0.84288288288288293</v>
      </c>
      <c r="R170" s="166" t="s">
        <v>225</v>
      </c>
      <c r="S170" s="237" t="s">
        <v>174</v>
      </c>
    </row>
    <row r="171" spans="1:19" s="171" customFormat="1" ht="12.75" x14ac:dyDescent="0.25">
      <c r="A171" s="207"/>
      <c r="B171" s="197"/>
      <c r="C171" s="220" t="s">
        <v>164</v>
      </c>
      <c r="D171" s="234"/>
      <c r="E171" s="234">
        <v>0</v>
      </c>
      <c r="F171" s="234">
        <v>0</v>
      </c>
      <c r="G171" s="234">
        <v>84</v>
      </c>
      <c r="H171" s="234">
        <v>68</v>
      </c>
      <c r="I171" s="234">
        <v>131</v>
      </c>
      <c r="J171" s="234">
        <v>0</v>
      </c>
      <c r="K171" s="234">
        <v>0</v>
      </c>
      <c r="L171" s="234">
        <f>49+25</f>
        <v>74</v>
      </c>
      <c r="M171" s="234"/>
      <c r="N171" s="234"/>
      <c r="O171" s="234"/>
      <c r="P171" s="236">
        <f>+SUM(D171:O171)</f>
        <v>357</v>
      </c>
      <c r="Q171" s="196"/>
      <c r="R171" s="166"/>
      <c r="S171" s="237"/>
    </row>
    <row r="172" spans="1:19" s="171" customFormat="1" ht="12.75" x14ac:dyDescent="0.25">
      <c r="A172" s="207"/>
      <c r="B172" s="197"/>
      <c r="C172" s="220" t="s">
        <v>32</v>
      </c>
      <c r="D172" s="234"/>
      <c r="E172" s="234">
        <v>0</v>
      </c>
      <c r="F172" s="234">
        <v>0</v>
      </c>
      <c r="G172" s="234">
        <v>0</v>
      </c>
      <c r="H172" s="234">
        <v>0</v>
      </c>
      <c r="I172" s="234">
        <v>0</v>
      </c>
      <c r="J172" s="234">
        <v>0</v>
      </c>
      <c r="K172" s="234">
        <v>0</v>
      </c>
      <c r="L172" s="234">
        <v>0</v>
      </c>
      <c r="M172" s="234"/>
      <c r="N172" s="234"/>
      <c r="O172" s="234"/>
      <c r="P172" s="236">
        <f>+SUM(D172:O172)</f>
        <v>0</v>
      </c>
      <c r="Q172" s="196"/>
      <c r="R172" s="166"/>
      <c r="S172" s="237"/>
    </row>
    <row r="173" spans="1:19" s="171" customFormat="1" ht="12.75" x14ac:dyDescent="0.25">
      <c r="A173" s="207"/>
      <c r="B173" s="197"/>
      <c r="C173" s="9" t="s">
        <v>46</v>
      </c>
      <c r="D173" s="234"/>
      <c r="E173" s="234">
        <v>0</v>
      </c>
      <c r="F173" s="234">
        <v>6</v>
      </c>
      <c r="G173" s="234">
        <v>6</v>
      </c>
      <c r="H173" s="234">
        <v>19</v>
      </c>
      <c r="I173" s="234">
        <v>5</v>
      </c>
      <c r="J173" s="234">
        <v>157</v>
      </c>
      <c r="K173" s="234">
        <v>474</v>
      </c>
      <c r="L173" s="234">
        <v>840</v>
      </c>
      <c r="M173" s="234"/>
      <c r="N173" s="234"/>
      <c r="O173" s="234"/>
      <c r="P173" s="236">
        <f>+SUM(D173:O173)</f>
        <v>1507</v>
      </c>
      <c r="Q173" s="196"/>
      <c r="R173" s="166"/>
      <c r="S173" s="237"/>
    </row>
    <row r="174" spans="1:19" s="171" customFormat="1" ht="12.75" x14ac:dyDescent="0.25">
      <c r="A174" s="207"/>
      <c r="B174" s="197"/>
      <c r="C174" s="9" t="s">
        <v>166</v>
      </c>
      <c r="D174" s="234"/>
      <c r="E174" s="234">
        <v>138</v>
      </c>
      <c r="F174" s="234">
        <v>79</v>
      </c>
      <c r="G174" s="234">
        <v>73</v>
      </c>
      <c r="H174" s="234">
        <v>121</v>
      </c>
      <c r="I174" s="234">
        <v>197</v>
      </c>
      <c r="J174" s="234">
        <v>268</v>
      </c>
      <c r="K174" s="234">
        <v>220</v>
      </c>
      <c r="L174" s="234">
        <v>294</v>
      </c>
      <c r="M174" s="234"/>
      <c r="N174" s="234"/>
      <c r="O174" s="234"/>
      <c r="P174" s="236">
        <f>+SUM(D174:O174)</f>
        <v>1390</v>
      </c>
      <c r="Q174" s="196"/>
      <c r="R174" s="166"/>
      <c r="S174" s="237"/>
    </row>
    <row r="175" spans="1:19" s="171" customFormat="1" ht="25.5" x14ac:dyDescent="0.25">
      <c r="A175" s="207"/>
      <c r="B175" s="197"/>
      <c r="C175" s="9" t="s">
        <v>167</v>
      </c>
      <c r="D175" s="235"/>
      <c r="E175" s="235">
        <v>60</v>
      </c>
      <c r="F175" s="235">
        <v>11</v>
      </c>
      <c r="G175" s="235">
        <v>53</v>
      </c>
      <c r="H175" s="235">
        <v>106</v>
      </c>
      <c r="I175" s="235">
        <v>88</v>
      </c>
      <c r="J175" s="234">
        <v>102</v>
      </c>
      <c r="K175" s="234">
        <v>140</v>
      </c>
      <c r="L175" s="234">
        <v>120</v>
      </c>
      <c r="M175" s="234"/>
      <c r="N175" s="234"/>
      <c r="O175" s="234"/>
      <c r="P175" s="236">
        <f>+SUM(D175:O175)</f>
        <v>680</v>
      </c>
      <c r="Q175" s="196"/>
      <c r="R175" s="166"/>
      <c r="S175" s="237"/>
    </row>
    <row r="176" spans="1:19" s="171" customFormat="1" ht="12.75" x14ac:dyDescent="0.25">
      <c r="A176" s="222"/>
      <c r="B176" s="238"/>
      <c r="C176" s="9" t="s">
        <v>168</v>
      </c>
      <c r="D176" s="234"/>
      <c r="E176" s="235">
        <v>0</v>
      </c>
      <c r="F176" s="235">
        <v>58</v>
      </c>
      <c r="G176" s="235">
        <v>61</v>
      </c>
      <c r="H176" s="235">
        <v>63</v>
      </c>
      <c r="I176" s="235">
        <v>78</v>
      </c>
      <c r="J176" s="234">
        <v>86</v>
      </c>
      <c r="K176" s="234">
        <v>107</v>
      </c>
      <c r="L176" s="234">
        <v>88</v>
      </c>
      <c r="M176" s="234"/>
      <c r="N176" s="234"/>
      <c r="O176" s="234"/>
      <c r="P176" s="236">
        <f>+SUM(D176:O176)</f>
        <v>541</v>
      </c>
      <c r="Q176" s="196"/>
      <c r="R176" s="166"/>
      <c r="S176" s="237"/>
    </row>
    <row r="177" spans="1:19" s="171" customFormat="1" ht="12.75" x14ac:dyDescent="0.25">
      <c r="A177" s="223"/>
      <c r="B177" s="239"/>
      <c r="C177" s="41" t="s">
        <v>169</v>
      </c>
      <c r="D177" s="234"/>
      <c r="E177" s="234">
        <v>8</v>
      </c>
      <c r="F177" s="234">
        <v>38</v>
      </c>
      <c r="G177" s="234">
        <v>0</v>
      </c>
      <c r="H177" s="235">
        <v>74</v>
      </c>
      <c r="I177" s="234">
        <v>346</v>
      </c>
      <c r="J177" s="234">
        <v>109</v>
      </c>
      <c r="K177" s="234">
        <v>56</v>
      </c>
      <c r="L177" s="234">
        <v>28</v>
      </c>
      <c r="M177" s="234"/>
      <c r="N177" s="234"/>
      <c r="O177" s="234"/>
      <c r="P177" s="236">
        <f>+SUM(D177:O177)</f>
        <v>659</v>
      </c>
      <c r="Q177" s="196"/>
      <c r="R177" s="166"/>
      <c r="S177" s="237"/>
    </row>
    <row r="178" spans="1:19" s="171" customFormat="1" ht="12.75" x14ac:dyDescent="0.25">
      <c r="A178" s="224"/>
      <c r="B178" s="240"/>
      <c r="C178" s="9" t="s">
        <v>170</v>
      </c>
      <c r="D178" s="234">
        <v>3</v>
      </c>
      <c r="E178" s="234">
        <v>0</v>
      </c>
      <c r="F178" s="234">
        <v>6</v>
      </c>
      <c r="G178" s="234">
        <v>2</v>
      </c>
      <c r="H178" s="235">
        <v>11</v>
      </c>
      <c r="I178" s="234">
        <v>8</v>
      </c>
      <c r="J178" s="234">
        <v>13</v>
      </c>
      <c r="K178" s="234">
        <v>16</v>
      </c>
      <c r="L178" s="235">
        <v>27</v>
      </c>
      <c r="M178" s="234"/>
      <c r="N178" s="234"/>
      <c r="O178" s="234"/>
      <c r="P178" s="236">
        <f>+SUM(D178:O178)</f>
        <v>86</v>
      </c>
      <c r="Q178" s="196"/>
      <c r="R178" s="166"/>
      <c r="S178" s="237"/>
    </row>
    <row r="179" spans="1:19" s="241" customFormat="1" ht="12.75" x14ac:dyDescent="0.25">
      <c r="A179" s="207"/>
      <c r="B179" s="197"/>
      <c r="C179" s="9" t="s">
        <v>171</v>
      </c>
      <c r="D179" s="234"/>
      <c r="E179" s="234">
        <v>86</v>
      </c>
      <c r="F179" s="234">
        <v>418</v>
      </c>
      <c r="G179" s="234">
        <v>761</v>
      </c>
      <c r="H179" s="234">
        <v>1233</v>
      </c>
      <c r="I179" s="234">
        <v>1585</v>
      </c>
      <c r="J179" s="234">
        <v>2422</v>
      </c>
      <c r="K179" s="234">
        <v>3026</v>
      </c>
      <c r="L179" s="235">
        <v>3672</v>
      </c>
      <c r="M179" s="234"/>
      <c r="N179" s="234"/>
      <c r="O179" s="234"/>
      <c r="P179" s="236">
        <v>3672</v>
      </c>
      <c r="Q179" s="196"/>
      <c r="R179" s="166"/>
      <c r="S179" s="237"/>
    </row>
    <row r="180" spans="1:19" s="231" customFormat="1" ht="93.75" customHeight="1" x14ac:dyDescent="0.25">
      <c r="A180" s="207"/>
      <c r="B180" s="197"/>
      <c r="C180" s="46" t="s">
        <v>29</v>
      </c>
      <c r="D180" s="48">
        <f t="shared" ref="D180:O180" si="8">+SUM(D170:D179)</f>
        <v>3</v>
      </c>
      <c r="E180" s="48">
        <f t="shared" si="8"/>
        <v>292</v>
      </c>
      <c r="F180" s="48">
        <f t="shared" si="8"/>
        <v>616</v>
      </c>
      <c r="G180" s="48">
        <f t="shared" si="8"/>
        <v>1040</v>
      </c>
      <c r="H180" s="48">
        <f t="shared" si="8"/>
        <v>1727</v>
      </c>
      <c r="I180" s="48">
        <f t="shared" si="8"/>
        <v>2459</v>
      </c>
      <c r="J180" s="48">
        <f t="shared" si="8"/>
        <v>3212</v>
      </c>
      <c r="K180" s="48">
        <f t="shared" si="8"/>
        <v>4184</v>
      </c>
      <c r="L180" s="48">
        <f t="shared" si="8"/>
        <v>5356</v>
      </c>
      <c r="M180" s="48">
        <f t="shared" si="8"/>
        <v>0</v>
      </c>
      <c r="N180" s="48">
        <f t="shared" si="8"/>
        <v>0</v>
      </c>
      <c r="O180" s="48">
        <f t="shared" si="8"/>
        <v>0</v>
      </c>
      <c r="P180" s="242">
        <f>+SUM(P170:P179)-1-1</f>
        <v>9356</v>
      </c>
      <c r="Q180" s="196"/>
      <c r="R180" s="166"/>
      <c r="S180" s="237"/>
    </row>
    <row r="181" spans="1:19" ht="21" customHeight="1" x14ac:dyDescent="0.25">
      <c r="A181" s="207"/>
      <c r="B181" s="1" t="s">
        <v>1</v>
      </c>
      <c r="C181" s="1" t="s">
        <v>43</v>
      </c>
      <c r="D181" s="243" t="s">
        <v>175</v>
      </c>
      <c r="E181" s="243"/>
      <c r="F181" s="243"/>
      <c r="G181" s="243"/>
      <c r="H181" s="243"/>
      <c r="I181" s="243"/>
      <c r="J181" s="243"/>
      <c r="K181" s="243"/>
      <c r="L181" s="243"/>
      <c r="M181" s="243"/>
      <c r="N181" s="243"/>
      <c r="O181" s="243"/>
      <c r="P181" s="243"/>
      <c r="Q181" s="243"/>
      <c r="R181" s="1" t="s">
        <v>4</v>
      </c>
      <c r="S181" s="1" t="s">
        <v>5</v>
      </c>
    </row>
    <row r="182" spans="1:19" ht="24.75" customHeight="1" x14ac:dyDescent="0.25">
      <c r="A182" s="207"/>
      <c r="B182" s="1"/>
      <c r="C182" s="20"/>
      <c r="D182" s="244"/>
      <c r="E182" s="244"/>
      <c r="F182" s="244"/>
      <c r="G182" s="244"/>
      <c r="H182" s="244"/>
      <c r="I182" s="244"/>
      <c r="J182" s="244">
        <v>99</v>
      </c>
      <c r="K182" s="244">
        <v>0</v>
      </c>
      <c r="L182" s="244">
        <v>303</v>
      </c>
      <c r="M182" s="244">
        <v>118</v>
      </c>
      <c r="N182" s="244">
        <v>114</v>
      </c>
      <c r="O182" s="244">
        <v>94</v>
      </c>
      <c r="P182" s="244">
        <f>+SUM(J182:O182)</f>
        <v>728</v>
      </c>
      <c r="Q182" s="245" t="s">
        <v>6</v>
      </c>
      <c r="R182" s="1"/>
      <c r="S182" s="1"/>
    </row>
    <row r="183" spans="1:19" ht="24.75" customHeight="1" x14ac:dyDescent="0.25">
      <c r="A183" s="207"/>
      <c r="B183" s="1"/>
      <c r="C183" s="20"/>
      <c r="D183" s="208">
        <v>0</v>
      </c>
      <c r="E183" s="246">
        <v>3</v>
      </c>
      <c r="F183" s="247">
        <v>10</v>
      </c>
      <c r="G183" s="247">
        <v>2</v>
      </c>
      <c r="H183" s="247">
        <v>41</v>
      </c>
      <c r="I183" s="247">
        <v>66</v>
      </c>
      <c r="J183" s="248">
        <v>101</v>
      </c>
      <c r="K183" s="248">
        <v>27</v>
      </c>
      <c r="L183" s="248">
        <v>99</v>
      </c>
      <c r="M183" s="248"/>
      <c r="N183" s="248">
        <v>0</v>
      </c>
      <c r="O183" s="248">
        <v>460</v>
      </c>
      <c r="P183" s="249">
        <f>+SUM(D183:O183)</f>
        <v>809</v>
      </c>
      <c r="Q183" s="250" t="s">
        <v>7</v>
      </c>
      <c r="R183" s="251"/>
      <c r="S183" s="1"/>
    </row>
    <row r="184" spans="1:19" ht="24.75" customHeight="1" x14ac:dyDescent="0.25">
      <c r="A184" s="222"/>
      <c r="B184" s="51"/>
      <c r="C184" s="20"/>
      <c r="D184" s="252">
        <v>0</v>
      </c>
      <c r="E184" s="253">
        <v>64</v>
      </c>
      <c r="F184" s="254">
        <v>91</v>
      </c>
      <c r="G184" s="254">
        <v>182</v>
      </c>
      <c r="H184" s="254">
        <v>28</v>
      </c>
      <c r="I184" s="254">
        <v>133</v>
      </c>
      <c r="J184" s="255">
        <v>95</v>
      </c>
      <c r="K184" s="255">
        <v>57</v>
      </c>
      <c r="L184" s="255">
        <v>111</v>
      </c>
      <c r="M184" s="255">
        <v>101</v>
      </c>
      <c r="N184" s="255">
        <v>451</v>
      </c>
      <c r="O184" s="255">
        <v>107</v>
      </c>
      <c r="P184" s="256">
        <v>1420</v>
      </c>
      <c r="Q184" s="257" t="s">
        <v>8</v>
      </c>
      <c r="R184" s="251"/>
      <c r="S184" s="1"/>
    </row>
    <row r="185" spans="1:19" ht="24.75" customHeight="1" x14ac:dyDescent="0.25">
      <c r="A185" s="222"/>
      <c r="B185" s="51"/>
      <c r="C185" s="20"/>
      <c r="D185" s="252">
        <v>0</v>
      </c>
      <c r="E185" s="253">
        <v>0</v>
      </c>
      <c r="F185" s="254">
        <v>0</v>
      </c>
      <c r="G185" s="254">
        <v>0</v>
      </c>
      <c r="H185" s="254">
        <v>0</v>
      </c>
      <c r="I185" s="254">
        <v>9600</v>
      </c>
      <c r="J185" s="255">
        <v>0</v>
      </c>
      <c r="K185" s="255">
        <v>0</v>
      </c>
      <c r="L185" s="255">
        <v>9900</v>
      </c>
      <c r="M185" s="255"/>
      <c r="N185" s="255"/>
      <c r="O185" s="255">
        <v>16090</v>
      </c>
      <c r="P185" s="256">
        <v>16090</v>
      </c>
      <c r="Q185" s="258"/>
      <c r="R185" s="251"/>
      <c r="S185" s="1"/>
    </row>
    <row r="186" spans="1:19" x14ac:dyDescent="0.25">
      <c r="A186" s="222"/>
      <c r="B186" s="51"/>
      <c r="C186" s="1"/>
      <c r="D186" s="259" t="s">
        <v>9</v>
      </c>
      <c r="E186" s="259" t="s">
        <v>10</v>
      </c>
      <c r="F186" s="259" t="s">
        <v>11</v>
      </c>
      <c r="G186" s="259" t="s">
        <v>12</v>
      </c>
      <c r="H186" s="259" t="s">
        <v>13</v>
      </c>
      <c r="I186" s="259" t="s">
        <v>14</v>
      </c>
      <c r="J186" s="259" t="s">
        <v>15</v>
      </c>
      <c r="K186" s="259" t="s">
        <v>16</v>
      </c>
      <c r="L186" s="259" t="s">
        <v>17</v>
      </c>
      <c r="M186" s="259" t="s">
        <v>18</v>
      </c>
      <c r="N186" s="259" t="s">
        <v>19</v>
      </c>
      <c r="O186" s="259" t="s">
        <v>20</v>
      </c>
      <c r="P186" s="259" t="s">
        <v>21</v>
      </c>
      <c r="Q186" s="259" t="s">
        <v>22</v>
      </c>
      <c r="R186" s="1"/>
      <c r="S186" s="1"/>
    </row>
    <row r="187" spans="1:19" ht="34.5" customHeight="1" x14ac:dyDescent="0.25">
      <c r="A187" s="223"/>
      <c r="B187" s="40" t="s">
        <v>176</v>
      </c>
      <c r="C187" s="260" t="s">
        <v>169</v>
      </c>
      <c r="D187" s="261">
        <v>0</v>
      </c>
      <c r="E187" s="261">
        <v>0</v>
      </c>
      <c r="F187" s="262">
        <v>11</v>
      </c>
      <c r="G187" s="234">
        <v>0</v>
      </c>
      <c r="H187" s="130">
        <v>186</v>
      </c>
      <c r="I187" s="10">
        <v>67</v>
      </c>
      <c r="J187" s="234">
        <v>129</v>
      </c>
      <c r="K187" s="234">
        <v>128</v>
      </c>
      <c r="L187" s="234">
        <v>106</v>
      </c>
      <c r="M187" s="234"/>
      <c r="N187" s="234"/>
      <c r="O187" s="234"/>
      <c r="P187" s="49">
        <f>SUM(D187:O187)</f>
        <v>627</v>
      </c>
      <c r="Q187" s="66">
        <f>+P187/760</f>
        <v>0.82499999999999996</v>
      </c>
      <c r="R187" s="198" t="s">
        <v>177</v>
      </c>
      <c r="S187" s="263" t="s">
        <v>97</v>
      </c>
    </row>
    <row r="188" spans="1:19" ht="182.25" customHeight="1" x14ac:dyDescent="0.25">
      <c r="A188" s="224"/>
      <c r="B188" s="43"/>
      <c r="C188" s="264"/>
      <c r="D188" s="265"/>
      <c r="E188" s="265"/>
      <c r="F188" s="266">
        <v>0</v>
      </c>
      <c r="G188" s="267"/>
      <c r="H188" s="268"/>
      <c r="I188" s="269">
        <v>35645</v>
      </c>
      <c r="J188" s="248"/>
      <c r="K188" s="248"/>
      <c r="L188" s="234">
        <v>40713</v>
      </c>
      <c r="M188" s="248"/>
      <c r="N188" s="248"/>
      <c r="O188" s="234"/>
      <c r="P188" s="49">
        <f>L188</f>
        <v>40713</v>
      </c>
      <c r="Q188" s="66">
        <f>P188/44547</f>
        <v>0.91393359822210252</v>
      </c>
      <c r="R188" s="198"/>
      <c r="S188" s="263"/>
    </row>
    <row r="189" spans="1:19" x14ac:dyDescent="0.25">
      <c r="A189" s="207"/>
      <c r="B189" s="1" t="s">
        <v>1</v>
      </c>
      <c r="C189" s="1" t="s">
        <v>43</v>
      </c>
      <c r="D189" s="232" t="s">
        <v>178</v>
      </c>
      <c r="E189" s="232"/>
      <c r="F189" s="232"/>
      <c r="G189" s="204"/>
      <c r="H189" s="204"/>
      <c r="I189" s="204"/>
      <c r="J189" s="204"/>
      <c r="K189" s="204"/>
      <c r="L189" s="204"/>
      <c r="M189" s="204"/>
      <c r="N189" s="204"/>
      <c r="O189" s="204"/>
      <c r="P189" s="204"/>
      <c r="Q189" s="204"/>
      <c r="R189" s="1" t="s">
        <v>4</v>
      </c>
      <c r="S189" s="270" t="s">
        <v>5</v>
      </c>
    </row>
    <row r="190" spans="1:19" ht="24.75" customHeight="1" x14ac:dyDescent="0.25">
      <c r="A190" s="207"/>
      <c r="B190" s="1"/>
      <c r="C190" s="1"/>
      <c r="D190" s="205"/>
      <c r="E190" s="205"/>
      <c r="F190" s="205"/>
      <c r="G190" s="205"/>
      <c r="H190" s="205"/>
      <c r="I190" s="205"/>
      <c r="J190" s="205">
        <v>0</v>
      </c>
      <c r="K190" s="205">
        <v>0</v>
      </c>
      <c r="L190" s="205">
        <v>21</v>
      </c>
      <c r="M190" s="205">
        <v>0</v>
      </c>
      <c r="N190" s="205">
        <v>0</v>
      </c>
      <c r="O190" s="205">
        <v>0</v>
      </c>
      <c r="P190" s="271">
        <f>+SUM(J190:O190)</f>
        <v>21</v>
      </c>
      <c r="Q190" s="206" t="s">
        <v>6</v>
      </c>
      <c r="R190" s="1"/>
      <c r="S190" s="270"/>
    </row>
    <row r="191" spans="1:19" ht="24.75" customHeight="1" x14ac:dyDescent="0.25">
      <c r="A191" s="207"/>
      <c r="B191" s="1"/>
      <c r="C191" s="1"/>
      <c r="D191" s="205"/>
      <c r="E191" s="205"/>
      <c r="F191" s="205">
        <v>4</v>
      </c>
      <c r="G191" s="205"/>
      <c r="H191" s="205"/>
      <c r="I191" s="205">
        <v>5</v>
      </c>
      <c r="J191" s="205"/>
      <c r="K191" s="205"/>
      <c r="L191" s="205">
        <v>16</v>
      </c>
      <c r="M191" s="205"/>
      <c r="N191" s="205"/>
      <c r="O191" s="205">
        <v>42</v>
      </c>
      <c r="P191" s="271">
        <v>42</v>
      </c>
      <c r="Q191" s="206" t="s">
        <v>8</v>
      </c>
      <c r="R191" s="51"/>
      <c r="S191" s="272"/>
    </row>
    <row r="192" spans="1:19" x14ac:dyDescent="0.25">
      <c r="A192" s="207"/>
      <c r="B192" s="1"/>
      <c r="C192" s="1"/>
      <c r="D192" s="6" t="s">
        <v>9</v>
      </c>
      <c r="E192" s="6" t="s">
        <v>10</v>
      </c>
      <c r="F192" s="6" t="s">
        <v>11</v>
      </c>
      <c r="G192" s="6" t="s">
        <v>12</v>
      </c>
      <c r="H192" s="6" t="s">
        <v>13</v>
      </c>
      <c r="I192" s="6" t="s">
        <v>14</v>
      </c>
      <c r="J192" s="6" t="s">
        <v>15</v>
      </c>
      <c r="K192" s="6" t="s">
        <v>16</v>
      </c>
      <c r="L192" s="6" t="s">
        <v>17</v>
      </c>
      <c r="M192" s="6" t="s">
        <v>18</v>
      </c>
      <c r="N192" s="6" t="s">
        <v>19</v>
      </c>
      <c r="O192" s="6" t="s">
        <v>20</v>
      </c>
      <c r="P192" s="6" t="s">
        <v>21</v>
      </c>
      <c r="Q192" s="6" t="s">
        <v>22</v>
      </c>
      <c r="R192" s="51"/>
      <c r="S192" s="272"/>
    </row>
    <row r="193" spans="1:19" s="171" customFormat="1" ht="70.5" customHeight="1" x14ac:dyDescent="0.25">
      <c r="A193" s="207"/>
      <c r="B193" s="273" t="s">
        <v>179</v>
      </c>
      <c r="C193" s="9" t="s">
        <v>180</v>
      </c>
      <c r="D193" s="274"/>
      <c r="E193" s="275"/>
      <c r="F193" s="276">
        <v>1</v>
      </c>
      <c r="G193" s="275"/>
      <c r="H193" s="247"/>
      <c r="I193" s="130">
        <v>7</v>
      </c>
      <c r="J193" s="247"/>
      <c r="K193" s="247"/>
      <c r="L193" s="277">
        <v>8</v>
      </c>
      <c r="M193" s="247"/>
      <c r="N193" s="247"/>
      <c r="O193" s="234"/>
      <c r="P193" s="278">
        <f>SUM(F193+I193+L193+O193)</f>
        <v>16</v>
      </c>
      <c r="Q193" s="279">
        <f>+P193/40</f>
        <v>0.4</v>
      </c>
      <c r="R193" s="280" t="s">
        <v>181</v>
      </c>
      <c r="S193" s="281" t="s">
        <v>97</v>
      </c>
    </row>
    <row r="194" spans="1:19" x14ac:dyDescent="0.25">
      <c r="A194" s="207"/>
      <c r="B194" s="1" t="s">
        <v>182</v>
      </c>
      <c r="C194" s="1" t="s">
        <v>43</v>
      </c>
      <c r="D194" s="204" t="s">
        <v>183</v>
      </c>
      <c r="E194" s="204"/>
      <c r="F194" s="204"/>
      <c r="G194" s="204"/>
      <c r="H194" s="204"/>
      <c r="I194" s="204"/>
      <c r="J194" s="204"/>
      <c r="K194" s="204"/>
      <c r="L194" s="204"/>
      <c r="M194" s="204"/>
      <c r="N194" s="204"/>
      <c r="O194" s="204"/>
      <c r="P194" s="204"/>
      <c r="Q194" s="282"/>
      <c r="R194" s="283" t="s">
        <v>4</v>
      </c>
      <c r="S194" s="283" t="s">
        <v>5</v>
      </c>
    </row>
    <row r="195" spans="1:19" x14ac:dyDescent="0.25">
      <c r="A195" s="207"/>
      <c r="B195" s="1"/>
      <c r="C195" s="1"/>
      <c r="D195" s="205">
        <v>0</v>
      </c>
      <c r="E195" s="205">
        <v>0</v>
      </c>
      <c r="F195" s="205">
        <v>2</v>
      </c>
      <c r="G195" s="205">
        <v>0</v>
      </c>
      <c r="H195" s="205">
        <v>0</v>
      </c>
      <c r="I195" s="205">
        <v>3</v>
      </c>
      <c r="J195" s="205">
        <v>4</v>
      </c>
      <c r="K195" s="205"/>
      <c r="L195" s="205">
        <v>3</v>
      </c>
      <c r="M195" s="205"/>
      <c r="N195" s="205"/>
      <c r="O195" s="205">
        <v>12</v>
      </c>
      <c r="P195" s="205">
        <v>24</v>
      </c>
      <c r="Q195" s="206" t="s">
        <v>8</v>
      </c>
      <c r="R195" s="284"/>
      <c r="S195" s="284"/>
    </row>
    <row r="196" spans="1:19" x14ac:dyDescent="0.25">
      <c r="A196" s="207"/>
      <c r="B196" s="1"/>
      <c r="C196" s="1"/>
      <c r="D196" s="6" t="s">
        <v>9</v>
      </c>
      <c r="E196" s="6" t="s">
        <v>10</v>
      </c>
      <c r="F196" s="6" t="s">
        <v>11</v>
      </c>
      <c r="G196" s="6" t="s">
        <v>12</v>
      </c>
      <c r="H196" s="6" t="s">
        <v>13</v>
      </c>
      <c r="I196" s="6" t="s">
        <v>14</v>
      </c>
      <c r="J196" s="6" t="s">
        <v>15</v>
      </c>
      <c r="K196" s="6" t="s">
        <v>16</v>
      </c>
      <c r="L196" s="6" t="s">
        <v>17</v>
      </c>
      <c r="M196" s="6" t="s">
        <v>18</v>
      </c>
      <c r="N196" s="6" t="s">
        <v>19</v>
      </c>
      <c r="O196" s="6" t="s">
        <v>20</v>
      </c>
      <c r="P196" s="6" t="s">
        <v>21</v>
      </c>
      <c r="Q196" s="6" t="s">
        <v>22</v>
      </c>
      <c r="R196" s="285"/>
      <c r="S196" s="285"/>
    </row>
    <row r="197" spans="1:19" s="171" customFormat="1" ht="43.5" customHeight="1" x14ac:dyDescent="0.25">
      <c r="A197" s="207"/>
      <c r="B197" s="286" t="s">
        <v>184</v>
      </c>
      <c r="C197" s="9" t="s">
        <v>185</v>
      </c>
      <c r="D197" s="246"/>
      <c r="E197" s="246"/>
      <c r="F197" s="11">
        <v>0</v>
      </c>
      <c r="G197" s="246"/>
      <c r="H197" s="246"/>
      <c r="I197" s="11">
        <v>0</v>
      </c>
      <c r="J197" s="247"/>
      <c r="K197" s="247"/>
      <c r="L197" s="234">
        <v>1</v>
      </c>
      <c r="M197" s="247"/>
      <c r="N197" s="247"/>
      <c r="O197" s="234"/>
      <c r="P197" s="287">
        <f>+SUM(D197:O197)</f>
        <v>1</v>
      </c>
      <c r="Q197" s="288">
        <f>+P205/20</f>
        <v>0.6</v>
      </c>
      <c r="R197" s="166" t="s">
        <v>224</v>
      </c>
      <c r="S197" s="166" t="s">
        <v>186</v>
      </c>
    </row>
    <row r="198" spans="1:19" s="171" customFormat="1" ht="17.25" customHeight="1" x14ac:dyDescent="0.25">
      <c r="A198" s="207"/>
      <c r="B198" s="286"/>
      <c r="C198" s="9" t="s">
        <v>46</v>
      </c>
      <c r="D198" s="246"/>
      <c r="E198" s="246"/>
      <c r="F198" s="11">
        <v>0</v>
      </c>
      <c r="G198" s="246"/>
      <c r="H198" s="246"/>
      <c r="I198" s="11">
        <v>1</v>
      </c>
      <c r="J198" s="246"/>
      <c r="K198" s="247"/>
      <c r="L198" s="234"/>
      <c r="M198" s="247"/>
      <c r="N198" s="247"/>
      <c r="O198" s="234"/>
      <c r="P198" s="289">
        <f>+SUM(D198:O198)</f>
        <v>1</v>
      </c>
      <c r="Q198" s="288"/>
      <c r="R198" s="166"/>
      <c r="S198" s="166"/>
    </row>
    <row r="199" spans="1:19" s="171" customFormat="1" ht="22.5" customHeight="1" x14ac:dyDescent="0.25">
      <c r="A199" s="207"/>
      <c r="B199" s="286"/>
      <c r="C199" s="9" t="s">
        <v>166</v>
      </c>
      <c r="D199" s="246"/>
      <c r="E199" s="246"/>
      <c r="F199" s="11">
        <v>1</v>
      </c>
      <c r="G199" s="246"/>
      <c r="H199" s="246"/>
      <c r="I199" s="11"/>
      <c r="J199" s="246"/>
      <c r="K199" s="247"/>
      <c r="L199" s="234">
        <v>1</v>
      </c>
      <c r="M199" s="247"/>
      <c r="N199" s="247"/>
      <c r="O199" s="234"/>
      <c r="P199" s="289">
        <f>+SUM(D199:O199)</f>
        <v>2</v>
      </c>
      <c r="Q199" s="288"/>
      <c r="R199" s="166"/>
      <c r="S199" s="166"/>
    </row>
    <row r="200" spans="1:19" s="171" customFormat="1" ht="27" customHeight="1" x14ac:dyDescent="0.25">
      <c r="A200" s="207"/>
      <c r="B200" s="286"/>
      <c r="C200" s="9" t="s">
        <v>167</v>
      </c>
      <c r="D200" s="246"/>
      <c r="E200" s="246"/>
      <c r="F200" s="11">
        <v>2</v>
      </c>
      <c r="G200" s="246"/>
      <c r="H200" s="246"/>
      <c r="I200" s="11"/>
      <c r="J200" s="246"/>
      <c r="K200" s="247"/>
      <c r="L200" s="234"/>
      <c r="M200" s="247"/>
      <c r="N200" s="247"/>
      <c r="O200" s="234"/>
      <c r="P200" s="289">
        <f>+SUM(D200:O200)</f>
        <v>2</v>
      </c>
      <c r="Q200" s="288"/>
      <c r="R200" s="166"/>
      <c r="S200" s="166"/>
    </row>
    <row r="201" spans="1:19" s="171" customFormat="1" x14ac:dyDescent="0.25">
      <c r="A201" s="222"/>
      <c r="B201" s="290"/>
      <c r="C201" s="9" t="s">
        <v>168</v>
      </c>
      <c r="D201" s="246"/>
      <c r="E201" s="246"/>
      <c r="F201" s="11">
        <v>2</v>
      </c>
      <c r="G201" s="246"/>
      <c r="H201" s="246"/>
      <c r="I201" s="11">
        <v>1</v>
      </c>
      <c r="J201" s="246"/>
      <c r="K201" s="247"/>
      <c r="L201" s="234">
        <v>1</v>
      </c>
      <c r="M201" s="247"/>
      <c r="N201" s="247"/>
      <c r="O201" s="234"/>
      <c r="P201" s="289">
        <f>+SUM(D201:O201)</f>
        <v>4</v>
      </c>
      <c r="Q201" s="288"/>
      <c r="R201" s="166"/>
      <c r="S201" s="166"/>
    </row>
    <row r="202" spans="1:19" s="171" customFormat="1" x14ac:dyDescent="0.25">
      <c r="A202" s="223"/>
      <c r="B202" s="291"/>
      <c r="C202" s="41" t="s">
        <v>169</v>
      </c>
      <c r="D202" s="246"/>
      <c r="E202" s="246"/>
      <c r="F202" s="11">
        <v>1</v>
      </c>
      <c r="G202" s="246"/>
      <c r="H202" s="246"/>
      <c r="I202" s="11"/>
      <c r="J202" s="246"/>
      <c r="K202" s="247"/>
      <c r="L202" s="234"/>
      <c r="M202" s="247"/>
      <c r="N202" s="247"/>
      <c r="O202" s="234"/>
      <c r="P202" s="289">
        <f>+SUM(D202:O202)</f>
        <v>1</v>
      </c>
      <c r="Q202" s="288"/>
      <c r="R202" s="166"/>
      <c r="S202" s="166"/>
    </row>
    <row r="203" spans="1:19" s="171" customFormat="1" x14ac:dyDescent="0.25">
      <c r="A203" s="224"/>
      <c r="B203" s="292"/>
      <c r="C203" s="9" t="s">
        <v>170</v>
      </c>
      <c r="D203" s="246"/>
      <c r="E203" s="246"/>
      <c r="F203" s="11">
        <v>1</v>
      </c>
      <c r="G203" s="246"/>
      <c r="H203" s="246"/>
      <c r="I203" s="11"/>
      <c r="J203" s="246"/>
      <c r="K203" s="247"/>
      <c r="L203" s="234"/>
      <c r="M203" s="247"/>
      <c r="N203" s="247"/>
      <c r="O203" s="234"/>
      <c r="P203" s="289">
        <f>+SUM(D203:O203)</f>
        <v>1</v>
      </c>
      <c r="Q203" s="288"/>
      <c r="R203" s="166"/>
      <c r="S203" s="166"/>
    </row>
    <row r="204" spans="1:19" s="171" customFormat="1" x14ac:dyDescent="0.25">
      <c r="A204" s="224"/>
      <c r="B204" s="292"/>
      <c r="C204" s="9"/>
      <c r="D204" s="246"/>
      <c r="E204" s="246"/>
      <c r="F204" s="11"/>
      <c r="G204" s="246"/>
      <c r="H204" s="246"/>
      <c r="I204" s="11"/>
      <c r="J204" s="246"/>
      <c r="K204" s="247"/>
      <c r="L204" s="234"/>
      <c r="M204" s="247"/>
      <c r="N204" s="247"/>
      <c r="O204" s="234"/>
      <c r="P204" s="289"/>
      <c r="Q204" s="288"/>
      <c r="R204" s="166"/>
      <c r="S204" s="166"/>
    </row>
    <row r="205" spans="1:19" ht="408.75" customHeight="1" x14ac:dyDescent="0.25">
      <c r="A205" s="207"/>
      <c r="B205" s="286"/>
      <c r="C205" s="46" t="s">
        <v>29</v>
      </c>
      <c r="D205" s="274"/>
      <c r="E205" s="274"/>
      <c r="F205" s="10">
        <f>SUM(F197:F203)</f>
        <v>7</v>
      </c>
      <c r="G205" s="208"/>
      <c r="H205" s="208"/>
      <c r="I205" s="10">
        <f>SUM(I197:I203)</f>
        <v>2</v>
      </c>
      <c r="J205" s="208"/>
      <c r="K205" s="247"/>
      <c r="L205" s="16">
        <f>SUM(L197:L203)</f>
        <v>3</v>
      </c>
      <c r="M205" s="247"/>
      <c r="N205" s="247"/>
      <c r="O205" s="16"/>
      <c r="P205" s="289">
        <f>+SUM(D205:O205)</f>
        <v>12</v>
      </c>
      <c r="Q205" s="288"/>
      <c r="R205" s="166"/>
      <c r="S205" s="166"/>
    </row>
    <row r="206" spans="1:19" x14ac:dyDescent="0.25">
      <c r="A206" s="207"/>
      <c r="B206" s="1" t="s">
        <v>1</v>
      </c>
      <c r="C206" s="1" t="s">
        <v>43</v>
      </c>
      <c r="D206" s="204" t="s">
        <v>187</v>
      </c>
      <c r="E206" s="204"/>
      <c r="F206" s="204"/>
      <c r="G206" s="204"/>
      <c r="H206" s="204"/>
      <c r="I206" s="204"/>
      <c r="J206" s="204"/>
      <c r="K206" s="204"/>
      <c r="L206" s="204"/>
      <c r="M206" s="204"/>
      <c r="N206" s="204"/>
      <c r="O206" s="204"/>
      <c r="P206" s="204"/>
      <c r="Q206" s="204"/>
      <c r="R206" s="1" t="s">
        <v>4</v>
      </c>
      <c r="S206" s="1" t="s">
        <v>5</v>
      </c>
    </row>
    <row r="207" spans="1:19" x14ac:dyDescent="0.25">
      <c r="A207" s="207"/>
      <c r="B207" s="1"/>
      <c r="C207" s="1"/>
      <c r="D207" s="205">
        <v>10</v>
      </c>
      <c r="E207" s="205">
        <v>10</v>
      </c>
      <c r="F207" s="205">
        <v>10</v>
      </c>
      <c r="G207" s="205">
        <v>10</v>
      </c>
      <c r="H207" s="205">
        <v>10</v>
      </c>
      <c r="I207" s="205">
        <v>10</v>
      </c>
      <c r="J207" s="205">
        <v>10</v>
      </c>
      <c r="K207" s="205">
        <v>10</v>
      </c>
      <c r="L207" s="205">
        <v>10</v>
      </c>
      <c r="M207" s="205">
        <v>10</v>
      </c>
      <c r="N207" s="205">
        <v>10</v>
      </c>
      <c r="O207" s="205">
        <v>10</v>
      </c>
      <c r="P207" s="205"/>
      <c r="Q207" s="206" t="s">
        <v>6</v>
      </c>
      <c r="R207" s="1"/>
      <c r="S207" s="1"/>
    </row>
    <row r="208" spans="1:19" x14ac:dyDescent="0.25">
      <c r="A208" s="207"/>
      <c r="B208" s="1"/>
      <c r="C208" s="1"/>
      <c r="D208" s="205"/>
      <c r="E208" s="205"/>
      <c r="F208" s="205">
        <v>1</v>
      </c>
      <c r="G208" s="205"/>
      <c r="H208" s="205"/>
      <c r="I208" s="205">
        <v>1</v>
      </c>
      <c r="J208" s="205"/>
      <c r="K208" s="205"/>
      <c r="L208" s="205">
        <v>1</v>
      </c>
      <c r="M208" s="205"/>
      <c r="N208" s="205"/>
      <c r="O208" s="205">
        <v>2</v>
      </c>
      <c r="P208" s="205">
        <v>2</v>
      </c>
      <c r="Q208" s="206" t="s">
        <v>8</v>
      </c>
      <c r="R208" s="1"/>
      <c r="S208" s="1"/>
    </row>
    <row r="209" spans="1:19" x14ac:dyDescent="0.25">
      <c r="A209" s="207"/>
      <c r="B209" s="1"/>
      <c r="C209" s="1"/>
      <c r="D209" s="6" t="s">
        <v>9</v>
      </c>
      <c r="E209" s="6" t="s">
        <v>10</v>
      </c>
      <c r="F209" s="6" t="s">
        <v>11</v>
      </c>
      <c r="G209" s="6" t="s">
        <v>12</v>
      </c>
      <c r="H209" s="6" t="s">
        <v>13</v>
      </c>
      <c r="I209" s="6" t="s">
        <v>14</v>
      </c>
      <c r="J209" s="6" t="s">
        <v>15</v>
      </c>
      <c r="K209" s="6" t="s">
        <v>16</v>
      </c>
      <c r="L209" s="6" t="s">
        <v>17</v>
      </c>
      <c r="M209" s="6" t="s">
        <v>18</v>
      </c>
      <c r="N209" s="6" t="s">
        <v>19</v>
      </c>
      <c r="O209" s="6" t="s">
        <v>20</v>
      </c>
      <c r="P209" s="6" t="s">
        <v>21</v>
      </c>
      <c r="Q209" s="6" t="s">
        <v>22</v>
      </c>
      <c r="R209" s="1"/>
      <c r="S209" s="1"/>
    </row>
    <row r="210" spans="1:19" ht="384" customHeight="1" x14ac:dyDescent="0.25">
      <c r="A210" s="207"/>
      <c r="B210" s="146" t="s">
        <v>188</v>
      </c>
      <c r="C210" s="146" t="s">
        <v>152</v>
      </c>
      <c r="D210" s="208"/>
      <c r="E210" s="208"/>
      <c r="F210" s="10">
        <v>0</v>
      </c>
      <c r="G210" s="208"/>
      <c r="H210" s="208"/>
      <c r="I210" s="10">
        <v>0</v>
      </c>
      <c r="J210" s="247"/>
      <c r="K210" s="247"/>
      <c r="L210" s="293">
        <v>2</v>
      </c>
      <c r="M210" s="247"/>
      <c r="N210" s="247"/>
      <c r="O210" s="277"/>
      <c r="P210" s="294">
        <f>L210</f>
        <v>2</v>
      </c>
      <c r="Q210" s="66">
        <f>+P210/2</f>
        <v>1</v>
      </c>
      <c r="R210" s="295" t="s">
        <v>223</v>
      </c>
      <c r="S210" s="184" t="s">
        <v>189</v>
      </c>
    </row>
    <row r="211" spans="1:19" ht="15" customHeight="1" x14ac:dyDescent="0.25">
      <c r="A211" s="1" t="s">
        <v>0</v>
      </c>
      <c r="B211" s="1" t="s">
        <v>1</v>
      </c>
      <c r="C211" s="1" t="s">
        <v>43</v>
      </c>
      <c r="D211" s="296" t="s">
        <v>190</v>
      </c>
      <c r="E211" s="296"/>
      <c r="F211" s="296"/>
      <c r="G211" s="296"/>
      <c r="H211" s="296"/>
      <c r="I211" s="296"/>
      <c r="J211" s="296"/>
      <c r="K211" s="296"/>
      <c r="L211" s="296"/>
      <c r="M211" s="296"/>
      <c r="N211" s="296"/>
      <c r="O211" s="296"/>
      <c r="P211" s="296"/>
      <c r="Q211" s="296"/>
      <c r="R211" s="1" t="s">
        <v>4</v>
      </c>
      <c r="S211" s="1" t="s">
        <v>5</v>
      </c>
    </row>
    <row r="212" spans="1:19" ht="25.5" customHeight="1" x14ac:dyDescent="0.25">
      <c r="A212" s="1"/>
      <c r="B212" s="1"/>
      <c r="C212" s="1"/>
      <c r="D212" s="297"/>
      <c r="E212" s="297"/>
      <c r="F212" s="297"/>
      <c r="G212" s="297"/>
      <c r="H212" s="297"/>
      <c r="I212" s="297"/>
      <c r="J212" s="298">
        <v>0</v>
      </c>
      <c r="K212" s="298">
        <v>25259</v>
      </c>
      <c r="L212" s="298">
        <v>28444</v>
      </c>
      <c r="M212" s="298">
        <v>32348</v>
      </c>
      <c r="N212" s="298">
        <v>32348</v>
      </c>
      <c r="O212" s="298">
        <v>32348</v>
      </c>
      <c r="P212" s="299">
        <f>+M212</f>
        <v>32348</v>
      </c>
      <c r="Q212" s="300" t="s">
        <v>6</v>
      </c>
      <c r="R212" s="1"/>
      <c r="S212" s="1"/>
    </row>
    <row r="213" spans="1:19" ht="25.5" customHeight="1" x14ac:dyDescent="0.25">
      <c r="A213" s="1"/>
      <c r="B213" s="1"/>
      <c r="C213" s="1"/>
      <c r="D213" s="298">
        <v>76</v>
      </c>
      <c r="E213" s="298">
        <v>3089</v>
      </c>
      <c r="F213" s="298">
        <v>27374</v>
      </c>
      <c r="G213" s="298">
        <v>20455</v>
      </c>
      <c r="H213" s="298">
        <v>27975</v>
      </c>
      <c r="I213" s="298">
        <v>29238</v>
      </c>
      <c r="J213" s="298">
        <v>34316</v>
      </c>
      <c r="K213" s="298">
        <v>39779</v>
      </c>
      <c r="L213" s="298">
        <v>37653</v>
      </c>
      <c r="M213" s="298">
        <v>34195</v>
      </c>
      <c r="N213" s="298">
        <v>28478</v>
      </c>
      <c r="O213" s="298" t="s">
        <v>191</v>
      </c>
      <c r="P213" s="299">
        <v>39779</v>
      </c>
      <c r="Q213" s="300" t="s">
        <v>7</v>
      </c>
      <c r="R213" s="1"/>
      <c r="S213" s="1"/>
    </row>
    <row r="214" spans="1:19" ht="25.5" customHeight="1" x14ac:dyDescent="0.25">
      <c r="A214" s="1"/>
      <c r="B214" s="1"/>
      <c r="C214" s="1"/>
      <c r="D214" s="298">
        <v>0</v>
      </c>
      <c r="E214" s="298">
        <v>178</v>
      </c>
      <c r="F214" s="298">
        <v>24317</v>
      </c>
      <c r="G214" s="298">
        <v>41052</v>
      </c>
      <c r="H214" s="298">
        <v>47117</v>
      </c>
      <c r="I214" s="298">
        <v>50161</v>
      </c>
      <c r="J214" s="298">
        <v>50853</v>
      </c>
      <c r="K214" s="298">
        <v>50964</v>
      </c>
      <c r="L214" s="298">
        <v>51127</v>
      </c>
      <c r="M214" s="298">
        <v>51285</v>
      </c>
      <c r="N214" s="298">
        <v>51315</v>
      </c>
      <c r="O214" s="298">
        <v>51316</v>
      </c>
      <c r="P214" s="299">
        <v>51316</v>
      </c>
      <c r="Q214" s="300" t="s">
        <v>8</v>
      </c>
      <c r="R214" s="1"/>
      <c r="S214" s="1"/>
    </row>
    <row r="215" spans="1:19" x14ac:dyDescent="0.25">
      <c r="A215" s="1"/>
      <c r="B215" s="1"/>
      <c r="C215" s="1"/>
      <c r="D215" s="6" t="s">
        <v>9</v>
      </c>
      <c r="E215" s="6" t="s">
        <v>10</v>
      </c>
      <c r="F215" s="6" t="s">
        <v>11</v>
      </c>
      <c r="G215" s="6" t="s">
        <v>12</v>
      </c>
      <c r="H215" s="6" t="s">
        <v>13</v>
      </c>
      <c r="I215" s="6" t="s">
        <v>14</v>
      </c>
      <c r="J215" s="6" t="s">
        <v>15</v>
      </c>
      <c r="K215" s="6" t="s">
        <v>16</v>
      </c>
      <c r="L215" s="6" t="s">
        <v>17</v>
      </c>
      <c r="M215" s="6" t="s">
        <v>18</v>
      </c>
      <c r="N215" s="6" t="s">
        <v>19</v>
      </c>
      <c r="O215" s="6" t="s">
        <v>20</v>
      </c>
      <c r="P215" s="6" t="s">
        <v>21</v>
      </c>
      <c r="Q215" s="6" t="s">
        <v>22</v>
      </c>
      <c r="R215" s="1"/>
      <c r="S215" s="1"/>
    </row>
    <row r="216" spans="1:19" ht="153.75" customHeight="1" x14ac:dyDescent="0.25">
      <c r="A216" s="301" t="s">
        <v>192</v>
      </c>
      <c r="B216" s="115" t="s">
        <v>193</v>
      </c>
      <c r="C216" s="9" t="s">
        <v>194</v>
      </c>
      <c r="D216" s="172">
        <v>0</v>
      </c>
      <c r="E216" s="89">
        <v>0</v>
      </c>
      <c r="F216" s="172">
        <v>18252</v>
      </c>
      <c r="G216" s="172">
        <v>26541</v>
      </c>
      <c r="H216" s="172">
        <v>33833</v>
      </c>
      <c r="I216" s="172">
        <v>37821</v>
      </c>
      <c r="J216" s="302">
        <v>45837</v>
      </c>
      <c r="K216" s="302">
        <v>50784</v>
      </c>
      <c r="L216" s="302">
        <v>55475</v>
      </c>
      <c r="M216" s="302"/>
      <c r="N216" s="302"/>
      <c r="O216" s="302"/>
      <c r="P216" s="303">
        <f>L216</f>
        <v>55475</v>
      </c>
      <c r="Q216" s="114">
        <f>+P216/55500</f>
        <v>0.99954954954954955</v>
      </c>
      <c r="R216" s="188" t="s">
        <v>195</v>
      </c>
      <c r="S216" s="188" t="s">
        <v>196</v>
      </c>
    </row>
    <row r="217" spans="1:19" x14ac:dyDescent="0.25">
      <c r="A217" s="301"/>
      <c r="B217" s="1" t="s">
        <v>1</v>
      </c>
      <c r="C217" s="1" t="s">
        <v>43</v>
      </c>
      <c r="D217" s="296" t="s">
        <v>197</v>
      </c>
      <c r="E217" s="296"/>
      <c r="F217" s="296"/>
      <c r="G217" s="296"/>
      <c r="H217" s="296"/>
      <c r="I217" s="296"/>
      <c r="J217" s="296"/>
      <c r="K217" s="296"/>
      <c r="L217" s="296"/>
      <c r="M217" s="296"/>
      <c r="N217" s="296"/>
      <c r="O217" s="296"/>
      <c r="P217" s="296"/>
      <c r="Q217" s="296"/>
      <c r="R217" s="1" t="s">
        <v>4</v>
      </c>
      <c r="S217" s="1" t="s">
        <v>5</v>
      </c>
    </row>
    <row r="218" spans="1:19" x14ac:dyDescent="0.25">
      <c r="A218" s="301"/>
      <c r="B218" s="1"/>
      <c r="C218" s="1"/>
      <c r="D218" s="297"/>
      <c r="E218" s="297"/>
      <c r="F218" s="297"/>
      <c r="G218" s="297"/>
      <c r="H218" s="297"/>
      <c r="I218" s="297"/>
      <c r="J218" s="304">
        <v>0</v>
      </c>
      <c r="K218" s="304">
        <v>3620</v>
      </c>
      <c r="L218" s="304">
        <v>2741</v>
      </c>
      <c r="M218" s="304">
        <v>3833</v>
      </c>
      <c r="N218" s="304">
        <v>1728</v>
      </c>
      <c r="O218" s="304">
        <v>2739</v>
      </c>
      <c r="P218" s="299">
        <f>+SUM(J218:O218)</f>
        <v>14661</v>
      </c>
      <c r="Q218" s="300" t="s">
        <v>6</v>
      </c>
      <c r="R218" s="1"/>
      <c r="S218" s="1"/>
    </row>
    <row r="219" spans="1:19" x14ac:dyDescent="0.25">
      <c r="A219" s="301"/>
      <c r="B219" s="1"/>
      <c r="C219" s="1"/>
      <c r="D219" s="297">
        <v>1155</v>
      </c>
      <c r="E219" s="297">
        <v>2653</v>
      </c>
      <c r="F219" s="297">
        <v>4985</v>
      </c>
      <c r="G219" s="297">
        <v>5099</v>
      </c>
      <c r="H219" s="297">
        <v>6139</v>
      </c>
      <c r="I219" s="297">
        <v>4352</v>
      </c>
      <c r="J219" s="304">
        <v>1048</v>
      </c>
      <c r="K219" s="304">
        <v>4636</v>
      </c>
      <c r="L219" s="304">
        <v>3270</v>
      </c>
      <c r="M219" s="304">
        <v>4424</v>
      </c>
      <c r="N219" s="304">
        <v>1452</v>
      </c>
      <c r="O219" s="304">
        <v>1909</v>
      </c>
      <c r="P219" s="299">
        <v>41122</v>
      </c>
      <c r="Q219" s="300" t="s">
        <v>7</v>
      </c>
      <c r="R219" s="1"/>
      <c r="S219" s="1"/>
    </row>
    <row r="220" spans="1:19" x14ac:dyDescent="0.25">
      <c r="A220" s="301"/>
      <c r="B220" s="1"/>
      <c r="C220" s="1"/>
      <c r="D220" s="297">
        <v>0</v>
      </c>
      <c r="E220" s="297">
        <v>107</v>
      </c>
      <c r="F220" s="297">
        <v>1471</v>
      </c>
      <c r="G220" s="297">
        <v>3559</v>
      </c>
      <c r="H220" s="297">
        <v>4443</v>
      </c>
      <c r="I220" s="297">
        <v>5922</v>
      </c>
      <c r="J220" s="304">
        <v>4684</v>
      </c>
      <c r="K220" s="304">
        <v>2287</v>
      </c>
      <c r="L220" s="304">
        <v>3030</v>
      </c>
      <c r="M220" s="304">
        <v>3398</v>
      </c>
      <c r="N220" s="304">
        <v>2765</v>
      </c>
      <c r="O220" s="304">
        <v>921</v>
      </c>
      <c r="P220" s="299">
        <v>32587</v>
      </c>
      <c r="Q220" s="300" t="s">
        <v>8</v>
      </c>
      <c r="R220" s="1"/>
      <c r="S220" s="1"/>
    </row>
    <row r="221" spans="1:19" x14ac:dyDescent="0.25">
      <c r="A221" s="301"/>
      <c r="B221" s="1"/>
      <c r="C221" s="1"/>
      <c r="D221" s="6" t="s">
        <v>9</v>
      </c>
      <c r="E221" s="6" t="s">
        <v>10</v>
      </c>
      <c r="F221" s="6" t="s">
        <v>11</v>
      </c>
      <c r="G221" s="6" t="s">
        <v>12</v>
      </c>
      <c r="H221" s="6" t="s">
        <v>13</v>
      </c>
      <c r="I221" s="6" t="s">
        <v>14</v>
      </c>
      <c r="J221" s="6" t="s">
        <v>15</v>
      </c>
      <c r="K221" s="6" t="s">
        <v>16</v>
      </c>
      <c r="L221" s="6" t="s">
        <v>17</v>
      </c>
      <c r="M221" s="6" t="s">
        <v>18</v>
      </c>
      <c r="N221" s="6" t="s">
        <v>19</v>
      </c>
      <c r="O221" s="6" t="s">
        <v>20</v>
      </c>
      <c r="P221" s="6" t="s">
        <v>21</v>
      </c>
      <c r="Q221" s="6" t="s">
        <v>22</v>
      </c>
      <c r="R221" s="1"/>
      <c r="S221" s="1"/>
    </row>
    <row r="222" spans="1:19" ht="188.25" customHeight="1" x14ac:dyDescent="0.25">
      <c r="A222" s="301"/>
      <c r="B222" s="87" t="s">
        <v>198</v>
      </c>
      <c r="C222" s="9" t="s">
        <v>194</v>
      </c>
      <c r="D222" s="167">
        <v>0</v>
      </c>
      <c r="E222" s="89">
        <v>0</v>
      </c>
      <c r="F222" s="167">
        <v>1053</v>
      </c>
      <c r="G222" s="167">
        <v>2473</v>
      </c>
      <c r="H222" s="167">
        <v>4673</v>
      </c>
      <c r="I222" s="167">
        <v>4047</v>
      </c>
      <c r="J222" s="302">
        <v>6013</v>
      </c>
      <c r="K222" s="302">
        <v>3935</v>
      </c>
      <c r="L222" s="302">
        <v>4088</v>
      </c>
      <c r="M222" s="302"/>
      <c r="N222" s="302"/>
      <c r="O222" s="302"/>
      <c r="P222" s="305">
        <f>SUM(D222:O222)</f>
        <v>26282</v>
      </c>
      <c r="Q222" s="114">
        <f>+P222/33000</f>
        <v>0.79642424242424248</v>
      </c>
      <c r="R222" s="188" t="s">
        <v>199</v>
      </c>
      <c r="S222" s="184" t="s">
        <v>200</v>
      </c>
    </row>
    <row r="223" spans="1:19" x14ac:dyDescent="0.25">
      <c r="A223" s="301"/>
      <c r="B223" s="1" t="s">
        <v>1</v>
      </c>
      <c r="C223" s="1" t="s">
        <v>43</v>
      </c>
      <c r="D223" s="296" t="s">
        <v>201</v>
      </c>
      <c r="E223" s="296"/>
      <c r="F223" s="296"/>
      <c r="G223" s="296"/>
      <c r="H223" s="296"/>
      <c r="I223" s="296"/>
      <c r="J223" s="296"/>
      <c r="K223" s="296"/>
      <c r="L223" s="296"/>
      <c r="M223" s="296"/>
      <c r="N223" s="296"/>
      <c r="O223" s="296"/>
      <c r="P223" s="296"/>
      <c r="Q223" s="296"/>
      <c r="R223" s="1" t="s">
        <v>4</v>
      </c>
      <c r="S223" s="1" t="s">
        <v>5</v>
      </c>
    </row>
    <row r="224" spans="1:19" x14ac:dyDescent="0.25">
      <c r="A224" s="301"/>
      <c r="B224" s="1"/>
      <c r="C224" s="1"/>
      <c r="D224" s="297"/>
      <c r="E224" s="297"/>
      <c r="F224" s="297"/>
      <c r="G224" s="297"/>
      <c r="H224" s="297"/>
      <c r="I224" s="297"/>
      <c r="J224" s="297">
        <v>0</v>
      </c>
      <c r="K224" s="297">
        <v>0</v>
      </c>
      <c r="L224" s="297">
        <v>13</v>
      </c>
      <c r="M224" s="297">
        <v>14</v>
      </c>
      <c r="N224" s="297">
        <v>14</v>
      </c>
      <c r="O224" s="297">
        <v>14</v>
      </c>
      <c r="P224" s="297">
        <v>14</v>
      </c>
      <c r="Q224" s="300" t="s">
        <v>6</v>
      </c>
      <c r="R224" s="1"/>
      <c r="S224" s="1"/>
    </row>
    <row r="225" spans="1:19" x14ac:dyDescent="0.25">
      <c r="A225" s="301"/>
      <c r="B225" s="1"/>
      <c r="C225" s="1"/>
      <c r="D225" s="297">
        <v>0</v>
      </c>
      <c r="E225" s="297">
        <v>0</v>
      </c>
      <c r="F225" s="297">
        <v>17</v>
      </c>
      <c r="G225" s="297">
        <v>17</v>
      </c>
      <c r="H225" s="297">
        <v>17</v>
      </c>
      <c r="I225" s="297">
        <v>19</v>
      </c>
      <c r="J225" s="297">
        <v>19</v>
      </c>
      <c r="K225" s="297">
        <v>18</v>
      </c>
      <c r="L225" s="297">
        <v>19</v>
      </c>
      <c r="M225" s="297">
        <v>19</v>
      </c>
      <c r="N225" s="297">
        <v>19</v>
      </c>
      <c r="O225" s="297">
        <v>19</v>
      </c>
      <c r="P225" s="297">
        <v>19</v>
      </c>
      <c r="Q225" s="300" t="s">
        <v>8</v>
      </c>
      <c r="R225" s="1"/>
      <c r="S225" s="1"/>
    </row>
    <row r="226" spans="1:19" x14ac:dyDescent="0.25">
      <c r="A226" s="301"/>
      <c r="B226" s="1"/>
      <c r="C226" s="1"/>
      <c r="D226" s="6" t="s">
        <v>9</v>
      </c>
      <c r="E226" s="6" t="s">
        <v>10</v>
      </c>
      <c r="F226" s="6" t="s">
        <v>11</v>
      </c>
      <c r="G226" s="6" t="s">
        <v>12</v>
      </c>
      <c r="H226" s="6" t="s">
        <v>13</v>
      </c>
      <c r="I226" s="6" t="s">
        <v>14</v>
      </c>
      <c r="J226" s="6" t="s">
        <v>15</v>
      </c>
      <c r="K226" s="6" t="s">
        <v>16</v>
      </c>
      <c r="L226" s="6" t="s">
        <v>17</v>
      </c>
      <c r="M226" s="6" t="s">
        <v>18</v>
      </c>
      <c r="N226" s="6" t="s">
        <v>19</v>
      </c>
      <c r="O226" s="6" t="s">
        <v>20</v>
      </c>
      <c r="P226" s="6" t="s">
        <v>21</v>
      </c>
      <c r="Q226" s="6" t="s">
        <v>22</v>
      </c>
      <c r="R226" s="1"/>
      <c r="S226" s="1"/>
    </row>
    <row r="227" spans="1:19" ht="162" customHeight="1" x14ac:dyDescent="0.25">
      <c r="A227" s="301"/>
      <c r="B227" s="87" t="s">
        <v>202</v>
      </c>
      <c r="C227" s="9" t="s">
        <v>194</v>
      </c>
      <c r="D227" s="306">
        <v>0</v>
      </c>
      <c r="E227" s="307">
        <v>0</v>
      </c>
      <c r="F227" s="9">
        <v>11</v>
      </c>
      <c r="G227" s="9">
        <v>16</v>
      </c>
      <c r="H227" s="9">
        <v>18</v>
      </c>
      <c r="I227" s="11">
        <v>20</v>
      </c>
      <c r="J227" s="11">
        <v>19</v>
      </c>
      <c r="K227" s="107">
        <v>19</v>
      </c>
      <c r="L227" s="107">
        <v>19</v>
      </c>
      <c r="M227" s="107"/>
      <c r="N227" s="107"/>
      <c r="O227" s="107"/>
      <c r="P227" s="305">
        <v>19</v>
      </c>
      <c r="Q227" s="114">
        <f>+P227/19</f>
        <v>1</v>
      </c>
      <c r="R227" s="188" t="s">
        <v>203</v>
      </c>
      <c r="S227" s="188" t="s">
        <v>204</v>
      </c>
    </row>
    <row r="228" spans="1:19" x14ac:dyDescent="0.25">
      <c r="A228" s="301"/>
      <c r="B228" s="1" t="s">
        <v>1</v>
      </c>
      <c r="C228" s="1" t="s">
        <v>43</v>
      </c>
      <c r="D228" s="296">
        <v>3</v>
      </c>
      <c r="E228" s="296"/>
      <c r="F228" s="296"/>
      <c r="G228" s="296"/>
      <c r="H228" s="296"/>
      <c r="I228" s="296"/>
      <c r="J228" s="296"/>
      <c r="K228" s="296"/>
      <c r="L228" s="296"/>
      <c r="M228" s="296"/>
      <c r="N228" s="296"/>
      <c r="O228" s="296"/>
      <c r="P228" s="296"/>
      <c r="Q228" s="296"/>
      <c r="R228" s="1" t="s">
        <v>4</v>
      </c>
      <c r="S228" s="1" t="s">
        <v>5</v>
      </c>
    </row>
    <row r="229" spans="1:19" ht="27.75" customHeight="1" x14ac:dyDescent="0.25">
      <c r="A229" s="301"/>
      <c r="B229" s="1"/>
      <c r="C229" s="1"/>
      <c r="D229" s="297"/>
      <c r="E229" s="297"/>
      <c r="F229" s="297"/>
      <c r="G229" s="297"/>
      <c r="H229" s="297"/>
      <c r="I229" s="297"/>
      <c r="J229" s="297"/>
      <c r="K229" s="297"/>
      <c r="L229" s="297"/>
      <c r="M229" s="297"/>
      <c r="N229" s="297"/>
      <c r="O229" s="297">
        <v>0.2</v>
      </c>
      <c r="P229" s="297">
        <v>0.2</v>
      </c>
      <c r="Q229" s="300" t="s">
        <v>6</v>
      </c>
      <c r="R229" s="1"/>
      <c r="S229" s="1"/>
    </row>
    <row r="230" spans="1:19" ht="27.75" customHeight="1" x14ac:dyDescent="0.25">
      <c r="A230" s="301"/>
      <c r="B230" s="1"/>
      <c r="C230" s="1"/>
      <c r="D230" s="297"/>
      <c r="E230" s="297"/>
      <c r="F230" s="297">
        <v>0</v>
      </c>
      <c r="G230" s="297"/>
      <c r="H230" s="297"/>
      <c r="I230" s="297">
        <v>0.7</v>
      </c>
      <c r="J230" s="297"/>
      <c r="K230" s="297"/>
      <c r="L230" s="297">
        <v>0.85</v>
      </c>
      <c r="M230" s="297"/>
      <c r="N230" s="297">
        <v>1.05</v>
      </c>
      <c r="O230" s="297">
        <v>1.1000000000000001</v>
      </c>
      <c r="P230" s="297">
        <v>1.1000000000000001</v>
      </c>
      <c r="Q230" s="300" t="s">
        <v>8</v>
      </c>
      <c r="R230" s="1"/>
      <c r="S230" s="1"/>
    </row>
    <row r="231" spans="1:19" x14ac:dyDescent="0.25">
      <c r="A231" s="301"/>
      <c r="B231" s="1"/>
      <c r="C231" s="1"/>
      <c r="D231" s="6" t="s">
        <v>9</v>
      </c>
      <c r="E231" s="6" t="s">
        <v>10</v>
      </c>
      <c r="F231" s="6" t="s">
        <v>11</v>
      </c>
      <c r="G231" s="6" t="s">
        <v>12</v>
      </c>
      <c r="H231" s="6" t="s">
        <v>13</v>
      </c>
      <c r="I231" s="6" t="s">
        <v>14</v>
      </c>
      <c r="J231" s="6" t="s">
        <v>15</v>
      </c>
      <c r="K231" s="6" t="s">
        <v>16</v>
      </c>
      <c r="L231" s="6" t="s">
        <v>17</v>
      </c>
      <c r="M231" s="6" t="s">
        <v>18</v>
      </c>
      <c r="N231" s="6" t="s">
        <v>19</v>
      </c>
      <c r="O231" s="6" t="s">
        <v>20</v>
      </c>
      <c r="P231" s="6" t="s">
        <v>21</v>
      </c>
      <c r="Q231" s="6" t="s">
        <v>22</v>
      </c>
      <c r="R231" s="1"/>
      <c r="S231" s="1"/>
    </row>
    <row r="232" spans="1:19" ht="97.5" customHeight="1" x14ac:dyDescent="0.25">
      <c r="A232" s="301"/>
      <c r="B232" s="87" t="s">
        <v>205</v>
      </c>
      <c r="C232" s="9" t="s">
        <v>206</v>
      </c>
      <c r="D232" s="308"/>
      <c r="E232" s="308"/>
      <c r="F232" s="309">
        <f>0.15+0.05</f>
        <v>0.2</v>
      </c>
      <c r="G232" s="310"/>
      <c r="H232" s="310"/>
      <c r="I232" s="311">
        <f>0.6+0.1</f>
        <v>0.7</v>
      </c>
      <c r="J232" s="310"/>
      <c r="K232" s="310"/>
      <c r="L232" s="312">
        <v>1.05</v>
      </c>
      <c r="M232" s="310"/>
      <c r="N232" s="310"/>
      <c r="O232" s="312"/>
      <c r="P232" s="313">
        <v>1.05</v>
      </c>
      <c r="Q232" s="114">
        <f>+L232/1.1</f>
        <v>0.95454545454545447</v>
      </c>
      <c r="R232" s="188" t="s">
        <v>207</v>
      </c>
      <c r="S232" s="188" t="s">
        <v>65</v>
      </c>
    </row>
    <row r="233" spans="1:19" ht="21.75" customHeight="1" x14ac:dyDescent="0.25">
      <c r="A233" s="1" t="s">
        <v>0</v>
      </c>
      <c r="B233" s="1" t="s">
        <v>1</v>
      </c>
      <c r="C233" s="1" t="s">
        <v>43</v>
      </c>
      <c r="D233" s="123" t="s">
        <v>208</v>
      </c>
      <c r="E233" s="123"/>
      <c r="F233" s="123"/>
      <c r="G233" s="123"/>
      <c r="H233" s="123"/>
      <c r="I233" s="123"/>
      <c r="J233" s="123"/>
      <c r="K233" s="123"/>
      <c r="L233" s="123"/>
      <c r="M233" s="123"/>
      <c r="N233" s="123"/>
      <c r="O233" s="123"/>
      <c r="P233" s="123"/>
      <c r="Q233" s="123"/>
      <c r="R233" s="1" t="s">
        <v>4</v>
      </c>
      <c r="S233" s="1" t="s">
        <v>5</v>
      </c>
    </row>
    <row r="234" spans="1:19" ht="22.5" customHeight="1" x14ac:dyDescent="0.25">
      <c r="A234" s="1"/>
      <c r="B234" s="1"/>
      <c r="C234" s="1"/>
      <c r="D234" s="124"/>
      <c r="E234" s="124"/>
      <c r="F234" s="124"/>
      <c r="G234" s="124"/>
      <c r="H234" s="124"/>
      <c r="I234" s="124"/>
      <c r="J234" s="124"/>
      <c r="K234" s="124"/>
      <c r="L234" s="124"/>
      <c r="M234" s="124"/>
      <c r="N234" s="124"/>
      <c r="O234" s="124"/>
      <c r="P234" s="314">
        <v>0.2</v>
      </c>
      <c r="Q234" s="125" t="s">
        <v>6</v>
      </c>
      <c r="R234" s="1"/>
      <c r="S234" s="1"/>
    </row>
    <row r="235" spans="1:19" ht="22.5" customHeight="1" x14ac:dyDescent="0.25">
      <c r="A235" s="1"/>
      <c r="B235" s="1"/>
      <c r="C235" s="1"/>
      <c r="D235" s="124"/>
      <c r="E235" s="124"/>
      <c r="F235" s="124">
        <v>0.28000000000000003</v>
      </c>
      <c r="G235" s="124"/>
      <c r="H235" s="124"/>
      <c r="I235" s="124">
        <v>0</v>
      </c>
      <c r="J235" s="124"/>
      <c r="K235" s="124"/>
      <c r="L235" s="124">
        <v>0.85</v>
      </c>
      <c r="M235" s="124"/>
      <c r="N235" s="124">
        <v>1</v>
      </c>
      <c r="O235" s="124">
        <v>1.05</v>
      </c>
      <c r="P235" s="314">
        <v>1.05</v>
      </c>
      <c r="Q235" s="125" t="s">
        <v>8</v>
      </c>
      <c r="R235" s="1"/>
      <c r="S235" s="1"/>
    </row>
    <row r="236" spans="1:19" x14ac:dyDescent="0.25">
      <c r="A236" s="1"/>
      <c r="B236" s="1"/>
      <c r="C236" s="1"/>
      <c r="D236" s="6" t="s">
        <v>9</v>
      </c>
      <c r="E236" s="6" t="s">
        <v>10</v>
      </c>
      <c r="F236" s="6" t="s">
        <v>11</v>
      </c>
      <c r="G236" s="6" t="s">
        <v>12</v>
      </c>
      <c r="H236" s="6" t="s">
        <v>13</v>
      </c>
      <c r="I236" s="6" t="s">
        <v>14</v>
      </c>
      <c r="J236" s="6" t="s">
        <v>15</v>
      </c>
      <c r="K236" s="6" t="s">
        <v>16</v>
      </c>
      <c r="L236" s="6" t="s">
        <v>17</v>
      </c>
      <c r="M236" s="6" t="s">
        <v>18</v>
      </c>
      <c r="N236" s="6" t="s">
        <v>19</v>
      </c>
      <c r="O236" s="6" t="s">
        <v>20</v>
      </c>
      <c r="P236" s="6" t="s">
        <v>21</v>
      </c>
      <c r="Q236" s="6" t="s">
        <v>22</v>
      </c>
      <c r="R236" s="1"/>
      <c r="S236" s="1"/>
    </row>
    <row r="237" spans="1:19" ht="182.25" customHeight="1" x14ac:dyDescent="0.25">
      <c r="A237" s="126" t="s">
        <v>209</v>
      </c>
      <c r="B237" s="9" t="s">
        <v>210</v>
      </c>
      <c r="C237" s="9" t="s">
        <v>211</v>
      </c>
      <c r="D237" s="124"/>
      <c r="E237" s="124"/>
      <c r="F237" s="315">
        <v>0.3</v>
      </c>
      <c r="G237" s="124"/>
      <c r="H237" s="124"/>
      <c r="I237" s="316">
        <v>0.6</v>
      </c>
      <c r="J237" s="124"/>
      <c r="K237" s="124"/>
      <c r="L237" s="317">
        <v>0.75</v>
      </c>
      <c r="M237" s="124"/>
      <c r="N237" s="318"/>
      <c r="O237" s="319"/>
      <c r="P237" s="313">
        <f>+L237</f>
        <v>0.75</v>
      </c>
      <c r="Q237" s="114">
        <f>+P237/0.95</f>
        <v>0.78947368421052633</v>
      </c>
      <c r="R237" s="115" t="s">
        <v>212</v>
      </c>
      <c r="S237" s="115"/>
    </row>
    <row r="238" spans="1:19" x14ac:dyDescent="0.25">
      <c r="A238" s="126"/>
      <c r="B238" s="1" t="s">
        <v>1</v>
      </c>
      <c r="C238" s="1" t="s">
        <v>43</v>
      </c>
      <c r="D238" s="123" t="s">
        <v>213</v>
      </c>
      <c r="E238" s="123"/>
      <c r="F238" s="123"/>
      <c r="G238" s="123"/>
      <c r="H238" s="123"/>
      <c r="I238" s="123"/>
      <c r="J238" s="123"/>
      <c r="K238" s="123"/>
      <c r="L238" s="123"/>
      <c r="M238" s="123"/>
      <c r="N238" s="123"/>
      <c r="O238" s="123"/>
      <c r="P238" s="123"/>
      <c r="Q238" s="123"/>
      <c r="R238" s="1" t="s">
        <v>4</v>
      </c>
      <c r="S238" s="1" t="s">
        <v>5</v>
      </c>
    </row>
    <row r="239" spans="1:19" x14ac:dyDescent="0.25">
      <c r="A239" s="126"/>
      <c r="B239" s="1"/>
      <c r="C239" s="1"/>
      <c r="D239" s="320">
        <v>0</v>
      </c>
      <c r="E239" s="321">
        <v>39093</v>
      </c>
      <c r="F239" s="321">
        <v>40947</v>
      </c>
      <c r="G239" s="321">
        <v>47122</v>
      </c>
      <c r="H239" s="321">
        <v>48935</v>
      </c>
      <c r="I239" s="321">
        <v>51484</v>
      </c>
      <c r="J239" s="321">
        <v>53199</v>
      </c>
      <c r="K239" s="321">
        <v>44756</v>
      </c>
      <c r="L239" s="321">
        <v>47896</v>
      </c>
      <c r="M239" s="321">
        <v>48631</v>
      </c>
      <c r="N239" s="321">
        <v>49035</v>
      </c>
      <c r="O239" s="321">
        <v>49831</v>
      </c>
      <c r="P239" s="321">
        <v>49831</v>
      </c>
      <c r="Q239" s="125" t="s">
        <v>6</v>
      </c>
      <c r="R239" s="1"/>
      <c r="S239" s="1"/>
    </row>
    <row r="240" spans="1:19" x14ac:dyDescent="0.25">
      <c r="A240" s="126"/>
      <c r="B240" s="1"/>
      <c r="C240" s="1"/>
      <c r="D240" s="320">
        <v>0</v>
      </c>
      <c r="E240" s="321">
        <v>29609</v>
      </c>
      <c r="F240" s="321">
        <v>40357</v>
      </c>
      <c r="G240" s="321">
        <v>0</v>
      </c>
      <c r="H240" s="321">
        <v>45478</v>
      </c>
      <c r="I240" s="321">
        <v>48605</v>
      </c>
      <c r="J240" s="321">
        <v>56163</v>
      </c>
      <c r="K240" s="321">
        <v>61773</v>
      </c>
      <c r="L240" s="321">
        <v>64249</v>
      </c>
      <c r="M240" s="321">
        <v>65581</v>
      </c>
      <c r="N240" s="321">
        <v>66049</v>
      </c>
      <c r="O240" s="321">
        <v>66074</v>
      </c>
      <c r="P240" s="321">
        <v>66074</v>
      </c>
      <c r="Q240" s="125" t="s">
        <v>7</v>
      </c>
      <c r="R240" s="1"/>
      <c r="S240" s="1"/>
    </row>
    <row r="241" spans="1:19" x14ac:dyDescent="0.25">
      <c r="A241" s="126"/>
      <c r="B241" s="1"/>
      <c r="C241" s="1"/>
      <c r="D241" s="320">
        <v>0</v>
      </c>
      <c r="E241" s="321">
        <v>18366</v>
      </c>
      <c r="F241" s="321">
        <v>33249</v>
      </c>
      <c r="G241" s="321">
        <v>42103</v>
      </c>
      <c r="H241" s="321">
        <v>45170</v>
      </c>
      <c r="I241" s="321">
        <v>47368</v>
      </c>
      <c r="J241" s="321">
        <v>48999</v>
      </c>
      <c r="K241" s="321">
        <v>50073</v>
      </c>
      <c r="L241" s="321">
        <v>51886</v>
      </c>
      <c r="M241" s="321">
        <v>52784</v>
      </c>
      <c r="N241" s="321">
        <v>53459</v>
      </c>
      <c r="O241" s="321">
        <v>53459</v>
      </c>
      <c r="P241" s="321">
        <v>53459</v>
      </c>
      <c r="Q241" s="125" t="s">
        <v>8</v>
      </c>
      <c r="R241" s="1"/>
      <c r="S241" s="1"/>
    </row>
    <row r="242" spans="1:19" x14ac:dyDescent="0.25">
      <c r="A242" s="126"/>
      <c r="B242" s="1"/>
      <c r="C242" s="1"/>
      <c r="D242" s="6" t="s">
        <v>9</v>
      </c>
      <c r="E242" s="6" t="s">
        <v>10</v>
      </c>
      <c r="F242" s="6" t="s">
        <v>11</v>
      </c>
      <c r="G242" s="6" t="s">
        <v>12</v>
      </c>
      <c r="H242" s="6" t="s">
        <v>13</v>
      </c>
      <c r="I242" s="6" t="s">
        <v>14</v>
      </c>
      <c r="J242" s="6" t="s">
        <v>15</v>
      </c>
      <c r="K242" s="6" t="s">
        <v>16</v>
      </c>
      <c r="L242" s="6" t="s">
        <v>17</v>
      </c>
      <c r="M242" s="6" t="s">
        <v>18</v>
      </c>
      <c r="N242" s="6" t="s">
        <v>19</v>
      </c>
      <c r="O242" s="6" t="s">
        <v>20</v>
      </c>
      <c r="P242" s="6" t="s">
        <v>21</v>
      </c>
      <c r="Q242" s="6" t="s">
        <v>22</v>
      </c>
      <c r="R242" s="1"/>
      <c r="S242" s="1"/>
    </row>
    <row r="243" spans="1:19" ht="159.75" customHeight="1" x14ac:dyDescent="0.25">
      <c r="A243" s="126"/>
      <c r="B243" s="87" t="s">
        <v>214</v>
      </c>
      <c r="C243" s="9" t="s">
        <v>211</v>
      </c>
      <c r="D243" s="89">
        <v>0</v>
      </c>
      <c r="E243" s="167">
        <v>2934</v>
      </c>
      <c r="F243" s="172">
        <v>12634</v>
      </c>
      <c r="G243" s="167">
        <v>29289</v>
      </c>
      <c r="H243" s="167">
        <v>36164</v>
      </c>
      <c r="I243" s="167">
        <v>38499</v>
      </c>
      <c r="J243" s="172">
        <v>42997</v>
      </c>
      <c r="K243" s="235">
        <v>46228</v>
      </c>
      <c r="L243" s="235">
        <v>49765</v>
      </c>
      <c r="M243" s="235"/>
      <c r="N243" s="235"/>
      <c r="O243" s="235"/>
      <c r="P243" s="305">
        <f>L243</f>
        <v>49765</v>
      </c>
      <c r="Q243" s="322">
        <f>+P243/52636</f>
        <v>0.94545558173113453</v>
      </c>
      <c r="R243" s="115" t="s">
        <v>215</v>
      </c>
      <c r="S243" s="323"/>
    </row>
    <row r="244" spans="1:19" x14ac:dyDescent="0.25">
      <c r="A244" s="126"/>
      <c r="B244" s="1" t="s">
        <v>1</v>
      </c>
      <c r="C244" s="1" t="s">
        <v>43</v>
      </c>
      <c r="D244" s="123"/>
      <c r="E244" s="123"/>
      <c r="F244" s="123"/>
      <c r="G244" s="123"/>
      <c r="H244" s="123"/>
      <c r="I244" s="123"/>
      <c r="J244" s="123"/>
      <c r="K244" s="123"/>
      <c r="L244" s="123"/>
      <c r="M244" s="123"/>
      <c r="N244" s="123"/>
      <c r="O244" s="123"/>
      <c r="P244" s="123"/>
      <c r="Q244" s="123"/>
      <c r="R244" s="1" t="s">
        <v>4</v>
      </c>
      <c r="S244" s="1" t="s">
        <v>5</v>
      </c>
    </row>
    <row r="245" spans="1:19" x14ac:dyDescent="0.25">
      <c r="A245" s="126"/>
      <c r="B245" s="1"/>
      <c r="C245" s="1"/>
      <c r="D245" s="124"/>
      <c r="E245" s="124"/>
      <c r="F245" s="124"/>
      <c r="G245" s="124"/>
      <c r="H245" s="124"/>
      <c r="I245" s="124"/>
      <c r="J245" s="124"/>
      <c r="K245" s="124"/>
      <c r="L245" s="124"/>
      <c r="M245" s="124"/>
      <c r="N245" s="124"/>
      <c r="O245" s="124"/>
      <c r="P245" s="124">
        <v>20</v>
      </c>
      <c r="Q245" s="125" t="s">
        <v>6</v>
      </c>
      <c r="R245" s="1"/>
      <c r="S245" s="1"/>
    </row>
    <row r="246" spans="1:19" x14ac:dyDescent="0.25">
      <c r="A246" s="126"/>
      <c r="B246" s="1"/>
      <c r="C246" s="1"/>
      <c r="D246" s="124">
        <v>0</v>
      </c>
      <c r="E246" s="124">
        <v>15</v>
      </c>
      <c r="F246" s="124">
        <v>19</v>
      </c>
      <c r="G246" s="124">
        <v>19</v>
      </c>
      <c r="H246" s="124">
        <v>19</v>
      </c>
      <c r="I246" s="124">
        <v>19</v>
      </c>
      <c r="J246" s="124">
        <v>19</v>
      </c>
      <c r="K246" s="124">
        <v>19</v>
      </c>
      <c r="L246" s="124">
        <v>20</v>
      </c>
      <c r="M246" s="124">
        <v>20</v>
      </c>
      <c r="N246" s="124">
        <v>20</v>
      </c>
      <c r="O246" s="124">
        <v>20</v>
      </c>
      <c r="P246" s="124">
        <f>L246</f>
        <v>20</v>
      </c>
      <c r="Q246" s="125" t="s">
        <v>8</v>
      </c>
      <c r="R246" s="1"/>
      <c r="S246" s="1"/>
    </row>
    <row r="247" spans="1:19" x14ac:dyDescent="0.25">
      <c r="A247" s="126"/>
      <c r="B247" s="1"/>
      <c r="C247" s="1"/>
      <c r="D247" s="6" t="s">
        <v>9</v>
      </c>
      <c r="E247" s="6" t="s">
        <v>10</v>
      </c>
      <c r="F247" s="6" t="s">
        <v>11</v>
      </c>
      <c r="G247" s="6" t="s">
        <v>12</v>
      </c>
      <c r="H247" s="6" t="s">
        <v>13</v>
      </c>
      <c r="I247" s="6" t="s">
        <v>14</v>
      </c>
      <c r="J247" s="6" t="s">
        <v>15</v>
      </c>
      <c r="K247" s="6" t="s">
        <v>16</v>
      </c>
      <c r="L247" s="6" t="s">
        <v>17</v>
      </c>
      <c r="M247" s="6" t="s">
        <v>18</v>
      </c>
      <c r="N247" s="6" t="s">
        <v>19</v>
      </c>
      <c r="O247" s="6" t="s">
        <v>20</v>
      </c>
      <c r="P247" s="6" t="s">
        <v>21</v>
      </c>
      <c r="Q247" s="6" t="s">
        <v>22</v>
      </c>
      <c r="R247" s="1"/>
      <c r="S247" s="1"/>
    </row>
    <row r="248" spans="1:19" ht="135.75" customHeight="1" x14ac:dyDescent="0.25">
      <c r="A248" s="126"/>
      <c r="B248" s="9" t="s">
        <v>216</v>
      </c>
      <c r="C248" s="9" t="s">
        <v>211</v>
      </c>
      <c r="D248" s="324">
        <v>0</v>
      </c>
      <c r="E248" s="11">
        <v>20</v>
      </c>
      <c r="F248" s="11">
        <v>20</v>
      </c>
      <c r="G248" s="11">
        <v>20</v>
      </c>
      <c r="H248" s="11">
        <v>20</v>
      </c>
      <c r="I248" s="11">
        <v>20</v>
      </c>
      <c r="J248" s="11">
        <v>20</v>
      </c>
      <c r="K248" s="11">
        <v>20</v>
      </c>
      <c r="L248" s="11">
        <v>20</v>
      </c>
      <c r="M248" s="107"/>
      <c r="N248" s="107"/>
      <c r="O248" s="107"/>
      <c r="P248" s="305">
        <f>E248</f>
        <v>20</v>
      </c>
      <c r="Q248" s="114">
        <f>+P248/20</f>
        <v>1</v>
      </c>
      <c r="R248" s="188" t="s">
        <v>217</v>
      </c>
      <c r="S248" s="184"/>
    </row>
    <row r="249" spans="1:19" x14ac:dyDescent="0.25">
      <c r="A249" s="126"/>
      <c r="B249" s="1" t="s">
        <v>1</v>
      </c>
      <c r="C249" s="1" t="s">
        <v>43</v>
      </c>
      <c r="D249" s="123" t="s">
        <v>218</v>
      </c>
      <c r="E249" s="123"/>
      <c r="F249" s="123"/>
      <c r="G249" s="123"/>
      <c r="H249" s="123"/>
      <c r="I249" s="123"/>
      <c r="J249" s="123"/>
      <c r="K249" s="123"/>
      <c r="L249" s="123"/>
      <c r="M249" s="123"/>
      <c r="N249" s="123"/>
      <c r="O249" s="123"/>
      <c r="P249" s="123"/>
      <c r="Q249" s="123"/>
      <c r="R249" s="1" t="s">
        <v>4</v>
      </c>
      <c r="S249" s="1" t="s">
        <v>5</v>
      </c>
    </row>
    <row r="250" spans="1:19" x14ac:dyDescent="0.25">
      <c r="A250" s="126"/>
      <c r="B250" s="1"/>
      <c r="C250" s="1"/>
      <c r="D250" s="124"/>
      <c r="E250" s="124"/>
      <c r="F250" s="124"/>
      <c r="G250" s="124"/>
      <c r="H250" s="124"/>
      <c r="I250" s="124"/>
      <c r="J250" s="124"/>
      <c r="K250" s="124"/>
      <c r="L250" s="124">
        <v>1</v>
      </c>
      <c r="M250" s="124"/>
      <c r="N250" s="124"/>
      <c r="O250" s="124">
        <v>3</v>
      </c>
      <c r="P250" s="124">
        <v>4</v>
      </c>
      <c r="Q250" s="125" t="s">
        <v>6</v>
      </c>
      <c r="R250" s="1"/>
      <c r="S250" s="1"/>
    </row>
    <row r="251" spans="1:19" x14ac:dyDescent="0.25">
      <c r="A251" s="126"/>
      <c r="B251" s="1"/>
      <c r="C251" s="1"/>
      <c r="D251" s="124"/>
      <c r="E251" s="124"/>
      <c r="F251" s="124">
        <v>0</v>
      </c>
      <c r="G251" s="124"/>
      <c r="H251" s="124"/>
      <c r="I251" s="124">
        <v>0</v>
      </c>
      <c r="J251" s="124">
        <v>0</v>
      </c>
      <c r="K251" s="124">
        <v>1</v>
      </c>
      <c r="L251" s="124">
        <v>0</v>
      </c>
      <c r="M251" s="124"/>
      <c r="N251" s="124"/>
      <c r="O251" s="124">
        <v>3</v>
      </c>
      <c r="P251" s="124">
        <v>4</v>
      </c>
      <c r="Q251" s="125" t="s">
        <v>8</v>
      </c>
      <c r="R251" s="1"/>
      <c r="S251" s="1"/>
    </row>
    <row r="252" spans="1:19" x14ac:dyDescent="0.25">
      <c r="A252" s="126"/>
      <c r="B252" s="1"/>
      <c r="C252" s="1"/>
      <c r="D252" s="6" t="s">
        <v>9</v>
      </c>
      <c r="E252" s="6" t="s">
        <v>10</v>
      </c>
      <c r="F252" s="6" t="s">
        <v>11</v>
      </c>
      <c r="G252" s="6" t="s">
        <v>12</v>
      </c>
      <c r="H252" s="6" t="s">
        <v>13</v>
      </c>
      <c r="I252" s="6" t="s">
        <v>14</v>
      </c>
      <c r="J252" s="6" t="s">
        <v>15</v>
      </c>
      <c r="K252" s="6" t="s">
        <v>16</v>
      </c>
      <c r="L252" s="6" t="s">
        <v>17</v>
      </c>
      <c r="M252" s="6" t="s">
        <v>18</v>
      </c>
      <c r="N252" s="6" t="s">
        <v>19</v>
      </c>
      <c r="O252" s="6" t="s">
        <v>20</v>
      </c>
      <c r="P252" s="6" t="s">
        <v>21</v>
      </c>
      <c r="Q252" s="6" t="s">
        <v>22</v>
      </c>
      <c r="R252" s="1"/>
      <c r="S252" s="1"/>
    </row>
    <row r="253" spans="1:19" ht="68.25" customHeight="1" x14ac:dyDescent="0.25">
      <c r="A253" s="126"/>
      <c r="B253" s="188" t="s">
        <v>219</v>
      </c>
      <c r="C253" s="9" t="s">
        <v>211</v>
      </c>
      <c r="D253" s="124"/>
      <c r="E253" s="124"/>
      <c r="F253" s="315">
        <v>0</v>
      </c>
      <c r="G253" s="124"/>
      <c r="H253" s="124"/>
      <c r="I253" s="269">
        <v>0</v>
      </c>
      <c r="J253" s="315">
        <v>0</v>
      </c>
      <c r="K253" s="16">
        <v>0</v>
      </c>
      <c r="L253" s="234" t="s">
        <v>107</v>
      </c>
      <c r="M253" s="124"/>
      <c r="N253" s="124"/>
      <c r="O253" s="325"/>
      <c r="P253" s="305">
        <f>+I253</f>
        <v>0</v>
      </c>
      <c r="Q253" s="326">
        <f>+P253/4</f>
        <v>0</v>
      </c>
      <c r="R253" s="188" t="s">
        <v>220</v>
      </c>
      <c r="S253" s="184"/>
    </row>
  </sheetData>
  <mergeCells count="263">
    <mergeCell ref="S244:S247"/>
    <mergeCell ref="B249:B252"/>
    <mergeCell ref="C249:C252"/>
    <mergeCell ref="D249:Q249"/>
    <mergeCell ref="R249:R252"/>
    <mergeCell ref="S249:S252"/>
    <mergeCell ref="A237:A253"/>
    <mergeCell ref="B238:B242"/>
    <mergeCell ref="C238:C242"/>
    <mergeCell ref="D238:Q238"/>
    <mergeCell ref="R238:R242"/>
    <mergeCell ref="S238:S242"/>
    <mergeCell ref="B244:B247"/>
    <mergeCell ref="C244:C247"/>
    <mergeCell ref="D244:Q244"/>
    <mergeCell ref="R244:R247"/>
    <mergeCell ref="A233:A236"/>
    <mergeCell ref="B233:B236"/>
    <mergeCell ref="C233:C236"/>
    <mergeCell ref="D233:Q233"/>
    <mergeCell ref="R233:R236"/>
    <mergeCell ref="S233:S236"/>
    <mergeCell ref="R223:R226"/>
    <mergeCell ref="S223:S226"/>
    <mergeCell ref="B228:B231"/>
    <mergeCell ref="C228:C231"/>
    <mergeCell ref="D228:Q228"/>
    <mergeCell ref="R228:R231"/>
    <mergeCell ref="S228:S231"/>
    <mergeCell ref="S211:S215"/>
    <mergeCell ref="A216:A232"/>
    <mergeCell ref="B217:B221"/>
    <mergeCell ref="C217:C221"/>
    <mergeCell ref="D217:Q217"/>
    <mergeCell ref="R217:R221"/>
    <mergeCell ref="S217:S221"/>
    <mergeCell ref="B223:B226"/>
    <mergeCell ref="C223:C226"/>
    <mergeCell ref="D223:Q223"/>
    <mergeCell ref="B206:B209"/>
    <mergeCell ref="C206:C209"/>
    <mergeCell ref="D206:Q206"/>
    <mergeCell ref="R206:R209"/>
    <mergeCell ref="S206:S209"/>
    <mergeCell ref="A211:A215"/>
    <mergeCell ref="B211:B215"/>
    <mergeCell ref="C211:C215"/>
    <mergeCell ref="D211:Q211"/>
    <mergeCell ref="R211:R215"/>
    <mergeCell ref="B194:B196"/>
    <mergeCell ref="C194:C196"/>
    <mergeCell ref="D194:Q194"/>
    <mergeCell ref="R194:R196"/>
    <mergeCell ref="S194:S196"/>
    <mergeCell ref="B197:B205"/>
    <mergeCell ref="Q197:Q205"/>
    <mergeCell ref="R197:R205"/>
    <mergeCell ref="S197:S205"/>
    <mergeCell ref="B187:B188"/>
    <mergeCell ref="C187:C188"/>
    <mergeCell ref="R187:R188"/>
    <mergeCell ref="S187:S188"/>
    <mergeCell ref="B189:B192"/>
    <mergeCell ref="C189:C192"/>
    <mergeCell ref="D189:Q189"/>
    <mergeCell ref="R189:R192"/>
    <mergeCell ref="S189:S192"/>
    <mergeCell ref="B181:B186"/>
    <mergeCell ref="C181:C186"/>
    <mergeCell ref="D181:Q181"/>
    <mergeCell ref="R181:R186"/>
    <mergeCell ref="S181:S186"/>
    <mergeCell ref="Q184:Q185"/>
    <mergeCell ref="B170:B180"/>
    <mergeCell ref="Q170:Q180"/>
    <mergeCell ref="R170:R180"/>
    <mergeCell ref="S170:S180"/>
    <mergeCell ref="S149:S153"/>
    <mergeCell ref="B154:B164"/>
    <mergeCell ref="Q154:Q164"/>
    <mergeCell ref="R154:R164"/>
    <mergeCell ref="S154:S164"/>
    <mergeCell ref="B165:B169"/>
    <mergeCell ref="C165:C169"/>
    <mergeCell ref="D165:Q165"/>
    <mergeCell ref="R165:R169"/>
    <mergeCell ref="S165:S169"/>
    <mergeCell ref="A143:A210"/>
    <mergeCell ref="B144:B147"/>
    <mergeCell ref="C144:C147"/>
    <mergeCell ref="D144:Q144"/>
    <mergeCell ref="R144:R147"/>
    <mergeCell ref="S144:S147"/>
    <mergeCell ref="B149:B153"/>
    <mergeCell ref="C149:C153"/>
    <mergeCell ref="D149:Q149"/>
    <mergeCell ref="R149:R153"/>
    <mergeCell ref="A139:A142"/>
    <mergeCell ref="B139:B142"/>
    <mergeCell ref="C139:C142"/>
    <mergeCell ref="D139:Q139"/>
    <mergeCell ref="R139:R142"/>
    <mergeCell ref="S139:S142"/>
    <mergeCell ref="S126:S130"/>
    <mergeCell ref="B131:B133"/>
    <mergeCell ref="Q131:Q133"/>
    <mergeCell ref="R131:R133"/>
    <mergeCell ref="S131:S133"/>
    <mergeCell ref="B134:B137"/>
    <mergeCell ref="C134:C137"/>
    <mergeCell ref="D134:Q134"/>
    <mergeCell ref="R134:R137"/>
    <mergeCell ref="S134:S137"/>
    <mergeCell ref="S118:S122"/>
    <mergeCell ref="A123:A138"/>
    <mergeCell ref="B123:B125"/>
    <mergeCell ref="Q123:Q125"/>
    <mergeCell ref="R123:R125"/>
    <mergeCell ref="S123:S125"/>
    <mergeCell ref="B126:B130"/>
    <mergeCell ref="C126:C130"/>
    <mergeCell ref="D126:Q126"/>
    <mergeCell ref="R126:R130"/>
    <mergeCell ref="B114:B116"/>
    <mergeCell ref="C114:C116"/>
    <mergeCell ref="D114:P114"/>
    <mergeCell ref="R114:R116"/>
    <mergeCell ref="S114:S116"/>
    <mergeCell ref="A118:A122"/>
    <mergeCell ref="B118:B122"/>
    <mergeCell ref="C118:C122"/>
    <mergeCell ref="D118:Q118"/>
    <mergeCell ref="R118:R122"/>
    <mergeCell ref="B103:B109"/>
    <mergeCell ref="Q103:Q109"/>
    <mergeCell ref="R103:R109"/>
    <mergeCell ref="S103:S109"/>
    <mergeCell ref="B110:B112"/>
    <mergeCell ref="C110:C112"/>
    <mergeCell ref="D110:P110"/>
    <mergeCell ref="R110:R112"/>
    <mergeCell ref="S110:S112"/>
    <mergeCell ref="B91:B97"/>
    <mergeCell ref="Q91:Q97"/>
    <mergeCell ref="R91:R97"/>
    <mergeCell ref="S91:S97"/>
    <mergeCell ref="B98:B102"/>
    <mergeCell ref="C98:C102"/>
    <mergeCell ref="D98:P98"/>
    <mergeCell ref="R98:R102"/>
    <mergeCell ref="S98:S102"/>
    <mergeCell ref="A82:A117"/>
    <mergeCell ref="B82:B85"/>
    <mergeCell ref="Q82:Q85"/>
    <mergeCell ref="R82:R85"/>
    <mergeCell ref="S82:S85"/>
    <mergeCell ref="B86:B90"/>
    <mergeCell ref="C86:C90"/>
    <mergeCell ref="D86:P86"/>
    <mergeCell ref="R86:R90"/>
    <mergeCell ref="S86:S90"/>
    <mergeCell ref="A79:A81"/>
    <mergeCell ref="B79:B81"/>
    <mergeCell ref="C79:C81"/>
    <mergeCell ref="D79:P79"/>
    <mergeCell ref="R79:R81"/>
    <mergeCell ref="S79:S81"/>
    <mergeCell ref="S71:S73"/>
    <mergeCell ref="B75:B77"/>
    <mergeCell ref="C75:C77"/>
    <mergeCell ref="D75:P75"/>
    <mergeCell ref="R75:R77"/>
    <mergeCell ref="S75:S77"/>
    <mergeCell ref="A65:A78"/>
    <mergeCell ref="B66:B69"/>
    <mergeCell ref="C66:C69"/>
    <mergeCell ref="D66:P66"/>
    <mergeCell ref="R66:R69"/>
    <mergeCell ref="S66:S69"/>
    <mergeCell ref="B71:B73"/>
    <mergeCell ref="C71:C73"/>
    <mergeCell ref="D71:P71"/>
    <mergeCell ref="R71:R73"/>
    <mergeCell ref="A61:A64"/>
    <mergeCell ref="B61:B64"/>
    <mergeCell ref="C61:C64"/>
    <mergeCell ref="D61:P61"/>
    <mergeCell ref="R61:R64"/>
    <mergeCell ref="S61:S64"/>
    <mergeCell ref="S52:S56"/>
    <mergeCell ref="B58:B59"/>
    <mergeCell ref="C58:C59"/>
    <mergeCell ref="D58:Q58"/>
    <mergeCell ref="R58:R59"/>
    <mergeCell ref="S58:S59"/>
    <mergeCell ref="A45:A60"/>
    <mergeCell ref="B46:B50"/>
    <mergeCell ref="C46:C50"/>
    <mergeCell ref="D46:Q46"/>
    <mergeCell ref="R46:R50"/>
    <mergeCell ref="S46:S50"/>
    <mergeCell ref="B52:B56"/>
    <mergeCell ref="C52:C56"/>
    <mergeCell ref="D52:Q52"/>
    <mergeCell ref="R52:R56"/>
    <mergeCell ref="A43:A44"/>
    <mergeCell ref="B43:B44"/>
    <mergeCell ref="C43:C44"/>
    <mergeCell ref="D43:Q43"/>
    <mergeCell ref="R43:R44"/>
    <mergeCell ref="S43:S44"/>
    <mergeCell ref="R37:R38"/>
    <mergeCell ref="S37:S38"/>
    <mergeCell ref="B40:B41"/>
    <mergeCell ref="C40:C41"/>
    <mergeCell ref="D40:P40"/>
    <mergeCell ref="R40:R41"/>
    <mergeCell ref="S40:S41"/>
    <mergeCell ref="S32:S34"/>
    <mergeCell ref="A35:A42"/>
    <mergeCell ref="B35:B36"/>
    <mergeCell ref="P35:P36"/>
    <mergeCell ref="Q35:Q36"/>
    <mergeCell ref="R35:R36"/>
    <mergeCell ref="S35:S36"/>
    <mergeCell ref="B37:B38"/>
    <mergeCell ref="C37:C38"/>
    <mergeCell ref="D37:P37"/>
    <mergeCell ref="B28:B30"/>
    <mergeCell ref="C28:C30"/>
    <mergeCell ref="D28:P28"/>
    <mergeCell ref="R28:R30"/>
    <mergeCell ref="S28:S30"/>
    <mergeCell ref="A32:A34"/>
    <mergeCell ref="B32:B34"/>
    <mergeCell ref="C32:C34"/>
    <mergeCell ref="D32:P32"/>
    <mergeCell ref="R32:R34"/>
    <mergeCell ref="B14:B22"/>
    <mergeCell ref="Q14:Q22"/>
    <mergeCell ref="R14:R22"/>
    <mergeCell ref="S14:S22"/>
    <mergeCell ref="B23:B26"/>
    <mergeCell ref="C23:C26"/>
    <mergeCell ref="D23:P23"/>
    <mergeCell ref="R23:R26"/>
    <mergeCell ref="S23:S26"/>
    <mergeCell ref="A6:A31"/>
    <mergeCell ref="B6:B8"/>
    <mergeCell ref="Q6:Q8"/>
    <mergeCell ref="R6:R8"/>
    <mergeCell ref="S6:S8"/>
    <mergeCell ref="B9:B13"/>
    <mergeCell ref="D9:P9"/>
    <mergeCell ref="R9:R13"/>
    <mergeCell ref="S9:S13"/>
    <mergeCell ref="C10:C13"/>
    <mergeCell ref="A1:A5"/>
    <mergeCell ref="B1:B5"/>
    <mergeCell ref="C1:C5"/>
    <mergeCell ref="D1:P1"/>
    <mergeCell ref="R1:R5"/>
    <mergeCell ref="S1:S5"/>
  </mergeCells>
  <pageMargins left="0.7" right="0.7" top="0.75" bottom="0.75" header="0.3" footer="0.3"/>
  <pageSetup scale="26" orientation="portrait" horizontalDpi="4294967294" verticalDpi="4294967294" r:id="rId1"/>
  <colBreaks count="1" manualBreakCount="1">
    <brk id="19" max="25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Armando Parra Garzon</dc:creator>
  <cp:lastModifiedBy>Armando Parra Garzon</cp:lastModifiedBy>
  <cp:lastPrinted>2019-10-24T20:40:28Z</cp:lastPrinted>
  <dcterms:created xsi:type="dcterms:W3CDTF">2019-10-24T20:22:36Z</dcterms:created>
  <dcterms:modified xsi:type="dcterms:W3CDTF">2019-10-24T20:46:57Z</dcterms:modified>
</cp:coreProperties>
</file>