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lex Alarcon\IDARTES\Bateria de Indicadores\Publicados 2017\"/>
    </mc:Choice>
  </mc:AlternateContent>
  <bookViews>
    <workbookView xWindow="0" yWindow="0" windowWidth="16380" windowHeight="8190" tabRatio="989" firstSheet="1" activeTab="1"/>
  </bookViews>
  <sheets>
    <sheet name="Modificaciones Plan Acción" sheetId="1" state="hidden" r:id="rId1"/>
    <sheet name="DEI01-Plan Acción 2017" sheetId="3" r:id="rId2"/>
    <sheet name="Seguim Proy inversión 2015" sheetId="4" state="hidden" r:id="rId3"/>
    <sheet name="Seguim Avance  % Metas 2015" sheetId="5" state="hidden" r:id="rId4"/>
    <sheet name="Seguim Proy inversión 2017" sheetId="6" r:id="rId5"/>
    <sheet name="Seguim Avance  % Metas 2017" sheetId="7" r:id="rId6"/>
    <sheet name="Seguim Avance Metas PDD 2015" sheetId="9" state="hidden" r:id="rId7"/>
    <sheet name="Seguim Avance Metas PDD 2017" sheetId="10" r:id="rId8"/>
    <sheet name="Avance Acumulado Metas PDD" sheetId="11" r:id="rId9"/>
    <sheet name="Seguim Avance % Metas PDD" sheetId="12" r:id="rId10"/>
    <sheet name="DEI02-Ava Plan Plurianual BMpT" sheetId="18" r:id="rId11"/>
    <sheet name="PIGA - Seguimiento" sheetId="14" state="hidden" r:id="rId12"/>
    <sheet name="Datos PIGA" sheetId="15" state="hidden" r:id="rId13"/>
    <sheet name="Seguim Metas PDD" sheetId="16" r:id="rId14"/>
    <sheet name="DEI03-Ava Acum PDD BMpTpor proy" sheetId="19" r:id="rId15"/>
  </sheets>
  <definedNames>
    <definedName name="_xlnm.Print_Area" localSheetId="8">'Avance Acumulado Metas PDD'!$A$1:$M$40</definedName>
    <definedName name="_xlnm.Print_Area" localSheetId="1">'DEI01-Plan Acción 2017'!$A$1:$P$57</definedName>
    <definedName name="_xlnm.Print_Area" localSheetId="10">'DEI02-Ava Plan Plurianual BMpT'!$A$1:$L$49</definedName>
    <definedName name="_xlnm.Print_Area" localSheetId="14">'DEI03-Ava Acum PDD BMpTpor proy'!$A$1:$Q$64</definedName>
    <definedName name="_xlnm.Print_Area" localSheetId="0">'Modificaciones Plan Acción'!$A$1:$M$32</definedName>
    <definedName name="_xlnm.Print_Area" localSheetId="11">'PIGA - Seguimiento'!$A$1:$Q$52</definedName>
    <definedName name="_xlnm.Print_Area" localSheetId="3">'Seguim Avance  % Metas 2015'!$A$1:$U$55</definedName>
    <definedName name="_xlnm.Print_Area" localSheetId="5">'Seguim Avance  % Metas 2017'!$A$1:$U$55</definedName>
    <definedName name="_xlnm.Print_Area" localSheetId="9">'Seguim Avance % Metas PDD'!$A$1:$O$40</definedName>
    <definedName name="_xlnm.Print_Area" localSheetId="2">'Seguim Proy inversión 2015'!$A$1:$U$55</definedName>
    <definedName name="_xlnm.Print_Area" localSheetId="4">'Seguim Proy inversión 2017'!$A$1:$U$55</definedName>
  </definedNames>
  <calcPr calcId="162913"/>
</workbook>
</file>

<file path=xl/calcChain.xml><?xml version="1.0" encoding="utf-8"?>
<calcChain xmlns="http://schemas.openxmlformats.org/spreadsheetml/2006/main">
  <c r="C29" i="3" l="1"/>
  <c r="D29" i="3"/>
  <c r="E29" i="3"/>
  <c r="F29" i="3"/>
  <c r="G29" i="3"/>
  <c r="H29" i="3"/>
  <c r="G25" i="19" l="1"/>
  <c r="O29" i="18" l="1"/>
  <c r="O21" i="18"/>
  <c r="O22" i="18"/>
  <c r="O23" i="18"/>
  <c r="O24" i="18"/>
  <c r="O25" i="18"/>
  <c r="O26" i="18"/>
  <c r="O27" i="18"/>
  <c r="O28" i="18"/>
  <c r="O20" i="18"/>
  <c r="C28" i="18"/>
  <c r="B28" i="18"/>
  <c r="C27" i="18"/>
  <c r="B27" i="18"/>
  <c r="C23" i="18"/>
  <c r="B23" i="18"/>
  <c r="C21" i="18"/>
  <c r="B21" i="18"/>
  <c r="C20" i="18"/>
  <c r="B20" i="18"/>
  <c r="C22" i="18"/>
  <c r="B22" i="18"/>
  <c r="C26" i="18"/>
  <c r="B26" i="18"/>
  <c r="C25" i="18"/>
  <c r="B25" i="18"/>
  <c r="C24" i="18"/>
  <c r="C30" i="18"/>
  <c r="C31" i="18"/>
  <c r="B24" i="18"/>
  <c r="L21" i="18"/>
  <c r="L22" i="18"/>
  <c r="L23" i="18"/>
  <c r="L24" i="18"/>
  <c r="L25" i="18"/>
  <c r="L26" i="18"/>
  <c r="L27" i="18"/>
  <c r="L28" i="18"/>
  <c r="L20" i="18"/>
  <c r="O25" i="19"/>
  <c r="M25" i="19"/>
  <c r="K25" i="19"/>
  <c r="O31" i="19"/>
  <c r="O32" i="19"/>
  <c r="O33" i="19"/>
  <c r="O35" i="19"/>
  <c r="O36" i="19"/>
  <c r="O34" i="19"/>
  <c r="O37" i="19"/>
  <c r="O38" i="19"/>
  <c r="O39" i="19"/>
  <c r="O40" i="19"/>
  <c r="M31" i="19"/>
  <c r="M32" i="19"/>
  <c r="M33" i="19"/>
  <c r="M35" i="19"/>
  <c r="M36" i="19"/>
  <c r="M34" i="19"/>
  <c r="M37" i="19"/>
  <c r="M38" i="19"/>
  <c r="M39" i="19"/>
  <c r="M40" i="19"/>
  <c r="I40" i="19"/>
  <c r="K31" i="19"/>
  <c r="K32" i="19"/>
  <c r="K33" i="19"/>
  <c r="K35" i="19"/>
  <c r="K36" i="19"/>
  <c r="K34" i="19"/>
  <c r="K37" i="19"/>
  <c r="K38" i="19"/>
  <c r="K39" i="19"/>
  <c r="K40" i="19"/>
  <c r="I31" i="19"/>
  <c r="I32" i="19"/>
  <c r="I33" i="19"/>
  <c r="I35" i="19"/>
  <c r="I36" i="19"/>
  <c r="I34" i="19"/>
  <c r="I37" i="19"/>
  <c r="I38" i="19"/>
  <c r="I39" i="19"/>
  <c r="O28" i="19"/>
  <c r="O29" i="19"/>
  <c r="O30" i="19"/>
  <c r="M28" i="19"/>
  <c r="M29" i="19"/>
  <c r="M30" i="19"/>
  <c r="K28" i="19"/>
  <c r="K29" i="19"/>
  <c r="K30" i="19"/>
  <c r="I30" i="19"/>
  <c r="I28" i="19"/>
  <c r="I26" i="19"/>
  <c r="I25" i="19"/>
  <c r="I24" i="19"/>
  <c r="G37" i="19"/>
  <c r="G36" i="19"/>
  <c r="G35" i="19"/>
  <c r="G30" i="19"/>
  <c r="G28" i="19"/>
  <c r="G34" i="19"/>
  <c r="G31" i="19"/>
  <c r="G33" i="19"/>
  <c r="I22" i="19"/>
  <c r="O21" i="19"/>
  <c r="M21" i="19"/>
  <c r="K21" i="19"/>
  <c r="I21" i="19"/>
  <c r="I20" i="19"/>
  <c r="G21" i="19"/>
  <c r="G40" i="19"/>
  <c r="G39" i="19"/>
  <c r="G38" i="19"/>
  <c r="I29" i="19"/>
  <c r="G29" i="19"/>
  <c r="G32" i="19"/>
  <c r="M27" i="19"/>
  <c r="K27" i="19"/>
  <c r="I27" i="19"/>
  <c r="G27" i="19"/>
  <c r="N26" i="19"/>
  <c r="O26" i="19"/>
  <c r="M26" i="19"/>
  <c r="K26" i="19"/>
  <c r="G26" i="19"/>
  <c r="P24" i="19"/>
  <c r="O24" i="19"/>
  <c r="M24" i="19"/>
  <c r="K24" i="19"/>
  <c r="Q24" i="19"/>
  <c r="T24" i="19"/>
  <c r="G24" i="19"/>
  <c r="O23" i="19"/>
  <c r="M23" i="19"/>
  <c r="K23" i="19"/>
  <c r="Q23" i="19"/>
  <c r="T23" i="19"/>
  <c r="I23" i="19"/>
  <c r="G23" i="19"/>
  <c r="M22" i="19"/>
  <c r="K22" i="19"/>
  <c r="G22" i="19"/>
  <c r="P20" i="19"/>
  <c r="M20" i="19"/>
  <c r="K20" i="19"/>
  <c r="G20" i="19"/>
  <c r="E30" i="18"/>
  <c r="H30" i="18"/>
  <c r="F30" i="18"/>
  <c r="D30" i="18"/>
  <c r="J30" i="18"/>
  <c r="D34" i="3"/>
  <c r="G34" i="3"/>
  <c r="G35" i="3" s="1"/>
  <c r="K34" i="3"/>
  <c r="C34" i="3"/>
  <c r="P34" i="3" s="1"/>
  <c r="E34" i="3"/>
  <c r="F33" i="3"/>
  <c r="F34" i="3" s="1"/>
  <c r="G33" i="3"/>
  <c r="H33" i="3"/>
  <c r="H34" i="3"/>
  <c r="H35" i="3" s="1"/>
  <c r="I33" i="3"/>
  <c r="I34" i="3"/>
  <c r="J33" i="3"/>
  <c r="J34" i="3"/>
  <c r="K33" i="3"/>
  <c r="L33" i="3"/>
  <c r="L34" i="3" s="1"/>
  <c r="M33" i="3"/>
  <c r="M34" i="3"/>
  <c r="N33" i="3"/>
  <c r="N34" i="3"/>
  <c r="P31" i="3"/>
  <c r="O31" i="3"/>
  <c r="O24" i="3"/>
  <c r="N29" i="3"/>
  <c r="N35" i="3" s="1"/>
  <c r="P27" i="3"/>
  <c r="O23" i="3"/>
  <c r="O21" i="3"/>
  <c r="P20" i="3"/>
  <c r="P26" i="3"/>
  <c r="O26" i="3"/>
  <c r="O20" i="3"/>
  <c r="O22" i="3"/>
  <c r="O25" i="3"/>
  <c r="J29" i="3"/>
  <c r="O28" i="3"/>
  <c r="O27" i="3"/>
  <c r="T23" i="11"/>
  <c r="Q25" i="11"/>
  <c r="S25" i="11"/>
  <c r="T27" i="11"/>
  <c r="G5" i="15"/>
  <c r="G14" i="15"/>
  <c r="H5" i="15"/>
  <c r="H14" i="15"/>
  <c r="M5" i="15"/>
  <c r="N5" i="15"/>
  <c r="G6" i="15"/>
  <c r="H6" i="15"/>
  <c r="M6" i="15"/>
  <c r="N6" i="15"/>
  <c r="G7" i="15"/>
  <c r="H7" i="15"/>
  <c r="M7" i="15"/>
  <c r="N7" i="15"/>
  <c r="G8" i="15"/>
  <c r="H8" i="15"/>
  <c r="M8" i="15"/>
  <c r="N8" i="15"/>
  <c r="G10" i="15"/>
  <c r="H10" i="15"/>
  <c r="M10" i="15"/>
  <c r="N10" i="15"/>
  <c r="G11" i="15"/>
  <c r="H11" i="15"/>
  <c r="G12" i="15"/>
  <c r="H12" i="15"/>
  <c r="M12" i="15"/>
  <c r="N12" i="15"/>
  <c r="G13" i="15"/>
  <c r="H13" i="15"/>
  <c r="M13" i="15"/>
  <c r="N13" i="15"/>
  <c r="C14" i="15"/>
  <c r="D14" i="15"/>
  <c r="E14" i="15"/>
  <c r="F14" i="15"/>
  <c r="I14" i="15"/>
  <c r="J14" i="15"/>
  <c r="K14" i="15"/>
  <c r="L14" i="15"/>
  <c r="M14" i="15"/>
  <c r="D19" i="15"/>
  <c r="D20" i="15"/>
  <c r="C21" i="15"/>
  <c r="D21" i="15"/>
  <c r="C29" i="15"/>
  <c r="C30" i="15"/>
  <c r="C31" i="15"/>
  <c r="C32" i="15"/>
  <c r="C37" i="15"/>
  <c r="C38" i="15"/>
  <c r="C39" i="15"/>
  <c r="C40" i="15"/>
  <c r="C41" i="15"/>
  <c r="C42" i="15"/>
  <c r="C43" i="15"/>
  <c r="C44" i="15"/>
  <c r="C46" i="15"/>
  <c r="C47" i="15"/>
  <c r="C48" i="15"/>
  <c r="C49" i="15"/>
  <c r="C50" i="15"/>
  <c r="C51" i="15"/>
  <c r="D35" i="3"/>
  <c r="H15" i="1"/>
  <c r="L15" i="1"/>
  <c r="H16" i="1"/>
  <c r="L16" i="1"/>
  <c r="H17" i="1"/>
  <c r="L17" i="1"/>
  <c r="H18" i="1"/>
  <c r="L18" i="1"/>
  <c r="H19" i="1"/>
  <c r="L19" i="1"/>
  <c r="H20" i="1"/>
  <c r="L20" i="1"/>
  <c r="H21" i="1"/>
  <c r="L21" i="1"/>
  <c r="H22" i="1"/>
  <c r="L22" i="1"/>
  <c r="H23" i="1"/>
  <c r="L23" i="1"/>
  <c r="H24" i="1"/>
  <c r="L24" i="1"/>
  <c r="H25" i="1"/>
  <c r="L25" i="1"/>
  <c r="H26" i="1"/>
  <c r="L26" i="1"/>
  <c r="H27" i="1"/>
  <c r="L27" i="1"/>
  <c r="P15" i="14"/>
  <c r="P16" i="14"/>
  <c r="D17" i="14"/>
  <c r="E17" i="14"/>
  <c r="F17" i="14"/>
  <c r="G17" i="14"/>
  <c r="H17" i="14"/>
  <c r="I17" i="14"/>
  <c r="J17" i="14"/>
  <c r="K17" i="14"/>
  <c r="L17" i="14"/>
  <c r="M17" i="14"/>
  <c r="N17" i="14"/>
  <c r="O17" i="14"/>
  <c r="D18" i="14"/>
  <c r="E18" i="14"/>
  <c r="F18" i="14"/>
  <c r="G18" i="14"/>
  <c r="G19" i="14"/>
  <c r="H18" i="14"/>
  <c r="I18" i="14"/>
  <c r="I19" i="14"/>
  <c r="J18" i="14"/>
  <c r="J19" i="14"/>
  <c r="P19" i="14"/>
  <c r="K18" i="14"/>
  <c r="K19" i="14"/>
  <c r="L18" i="14"/>
  <c r="M18" i="14"/>
  <c r="M19" i="14"/>
  <c r="N18" i="14"/>
  <c r="N19" i="14"/>
  <c r="O18" i="14"/>
  <c r="O19" i="14"/>
  <c r="D19" i="14"/>
  <c r="E19" i="14"/>
  <c r="F19" i="14"/>
  <c r="H19" i="14"/>
  <c r="L19" i="14"/>
  <c r="P20" i="14"/>
  <c r="P21" i="14"/>
  <c r="P22" i="14"/>
  <c r="P23" i="14"/>
  <c r="P24" i="14"/>
  <c r="P25" i="14"/>
  <c r="P26" i="14"/>
  <c r="P27" i="14"/>
  <c r="P28" i="14"/>
  <c r="P29" i="14"/>
  <c r="P30" i="14"/>
  <c r="P31" i="14"/>
  <c r="D32" i="14"/>
  <c r="D33" i="14"/>
  <c r="E32" i="14"/>
  <c r="E33" i="14"/>
  <c r="F32" i="14"/>
  <c r="G32" i="14"/>
  <c r="P32" i="14"/>
  <c r="H32" i="14"/>
  <c r="I32" i="14"/>
  <c r="I33" i="14"/>
  <c r="J32" i="14"/>
  <c r="K32" i="14"/>
  <c r="K33" i="14"/>
  <c r="L32" i="14"/>
  <c r="M32" i="14"/>
  <c r="M33" i="14"/>
  <c r="N32" i="14"/>
  <c r="O32" i="14"/>
  <c r="O33" i="14"/>
  <c r="F33" i="14"/>
  <c r="H33" i="14"/>
  <c r="J33" i="14"/>
  <c r="L33" i="14"/>
  <c r="N33" i="14"/>
  <c r="P34" i="14"/>
  <c r="P35" i="14"/>
  <c r="P36" i="14"/>
  <c r="P37" i="14"/>
  <c r="P38" i="14"/>
  <c r="P40" i="14"/>
  <c r="P41" i="14"/>
  <c r="P42" i="14"/>
  <c r="P43" i="14"/>
  <c r="P44" i="14"/>
  <c r="P45" i="14"/>
  <c r="P46" i="14"/>
  <c r="P47" i="14"/>
  <c r="F15" i="5"/>
  <c r="G15" i="5"/>
  <c r="H15" i="5"/>
  <c r="I15" i="5"/>
  <c r="J15" i="5"/>
  <c r="K15" i="5"/>
  <c r="L15" i="5"/>
  <c r="M15" i="5"/>
  <c r="N15" i="5"/>
  <c r="O15" i="5"/>
  <c r="P15" i="5"/>
  <c r="Q15" i="5"/>
  <c r="R15" i="5"/>
  <c r="F16" i="5"/>
  <c r="G16" i="5"/>
  <c r="H16" i="5"/>
  <c r="I16" i="5"/>
  <c r="J16" i="5"/>
  <c r="K16" i="5"/>
  <c r="L16" i="5"/>
  <c r="M16" i="5"/>
  <c r="N16" i="5"/>
  <c r="O16" i="5"/>
  <c r="P16" i="5"/>
  <c r="Q16" i="5"/>
  <c r="F17" i="5"/>
  <c r="G17" i="5"/>
  <c r="H17" i="5"/>
  <c r="I17" i="5"/>
  <c r="J17" i="5"/>
  <c r="K17" i="5"/>
  <c r="L17" i="5"/>
  <c r="M17" i="5"/>
  <c r="N17" i="5"/>
  <c r="O17" i="5"/>
  <c r="P17" i="5"/>
  <c r="Q17" i="5"/>
  <c r="F18" i="5"/>
  <c r="G18" i="5"/>
  <c r="H18" i="5"/>
  <c r="I18" i="5"/>
  <c r="J18" i="5"/>
  <c r="K18" i="5"/>
  <c r="L18" i="5"/>
  <c r="M18" i="5"/>
  <c r="M49" i="5"/>
  <c r="N18" i="5"/>
  <c r="O18" i="5"/>
  <c r="P18" i="5"/>
  <c r="Q18" i="5"/>
  <c r="F19" i="5"/>
  <c r="G19" i="5"/>
  <c r="H19" i="5"/>
  <c r="I19" i="5"/>
  <c r="J19" i="5"/>
  <c r="K19" i="5"/>
  <c r="L19" i="5"/>
  <c r="M19" i="5"/>
  <c r="N19" i="5"/>
  <c r="O19" i="5"/>
  <c r="P19" i="5"/>
  <c r="Q19" i="5"/>
  <c r="F20" i="5"/>
  <c r="G20" i="5"/>
  <c r="H20" i="5"/>
  <c r="I20" i="5"/>
  <c r="K20" i="5"/>
  <c r="F21" i="5"/>
  <c r="G21" i="5"/>
  <c r="H21" i="5"/>
  <c r="I21" i="5"/>
  <c r="J21" i="5"/>
  <c r="K21" i="5"/>
  <c r="L21" i="5"/>
  <c r="M21" i="5"/>
  <c r="N21" i="5"/>
  <c r="O21" i="5"/>
  <c r="P21" i="5"/>
  <c r="Q21" i="5"/>
  <c r="F22" i="5"/>
  <c r="G22" i="5"/>
  <c r="H22" i="5"/>
  <c r="I22" i="5"/>
  <c r="J22" i="5"/>
  <c r="K22" i="5"/>
  <c r="L22" i="5"/>
  <c r="M22" i="5"/>
  <c r="N22" i="5"/>
  <c r="O22" i="5"/>
  <c r="P22" i="5"/>
  <c r="Q22" i="5"/>
  <c r="F23" i="5"/>
  <c r="G23" i="5"/>
  <c r="H23" i="5"/>
  <c r="I23" i="5"/>
  <c r="J23" i="5"/>
  <c r="K23" i="5"/>
  <c r="L23" i="5"/>
  <c r="M23" i="5"/>
  <c r="N23" i="5"/>
  <c r="O23" i="5"/>
  <c r="P23" i="5"/>
  <c r="Q23" i="5"/>
  <c r="R23" i="5"/>
  <c r="F24" i="5"/>
  <c r="G24" i="5"/>
  <c r="H24" i="5"/>
  <c r="I24" i="5"/>
  <c r="J24" i="5"/>
  <c r="K24" i="5"/>
  <c r="L24" i="5"/>
  <c r="M24" i="5"/>
  <c r="N24" i="5"/>
  <c r="O24" i="5"/>
  <c r="P24" i="5"/>
  <c r="Q24" i="5"/>
  <c r="F25" i="5"/>
  <c r="G25" i="5"/>
  <c r="H25" i="5"/>
  <c r="I25" i="5"/>
  <c r="J25" i="5"/>
  <c r="K25" i="5"/>
  <c r="L25" i="5"/>
  <c r="M25" i="5"/>
  <c r="N25" i="5"/>
  <c r="O25" i="5"/>
  <c r="P25" i="5"/>
  <c r="F26" i="5"/>
  <c r="G26" i="5"/>
  <c r="H26" i="5"/>
  <c r="I26" i="5"/>
  <c r="J26" i="5"/>
  <c r="K26" i="5"/>
  <c r="L26" i="5"/>
  <c r="M26" i="5"/>
  <c r="N26" i="5"/>
  <c r="O26" i="5"/>
  <c r="P26" i="5"/>
  <c r="Q26" i="5"/>
  <c r="F27" i="5"/>
  <c r="G27" i="5"/>
  <c r="H27" i="5"/>
  <c r="I27" i="5"/>
  <c r="J27" i="5"/>
  <c r="K27" i="5"/>
  <c r="L27" i="5"/>
  <c r="M27" i="5"/>
  <c r="N27" i="5"/>
  <c r="O27" i="5"/>
  <c r="P27" i="5"/>
  <c r="Q27" i="5"/>
  <c r="F28" i="5"/>
  <c r="G28" i="5"/>
  <c r="H28" i="5"/>
  <c r="I28" i="5"/>
  <c r="J28" i="5"/>
  <c r="K28" i="5"/>
  <c r="L28" i="5"/>
  <c r="M28" i="5"/>
  <c r="N28" i="5"/>
  <c r="O28" i="5"/>
  <c r="P28" i="5"/>
  <c r="Q28" i="5"/>
  <c r="F29" i="5"/>
  <c r="G29" i="5"/>
  <c r="H29" i="5"/>
  <c r="I29" i="5"/>
  <c r="J29" i="5"/>
  <c r="K29" i="5"/>
  <c r="L29" i="5"/>
  <c r="M29" i="5"/>
  <c r="N29" i="5"/>
  <c r="O29" i="5"/>
  <c r="P29" i="5"/>
  <c r="Q29" i="5"/>
  <c r="R29" i="5"/>
  <c r="F30" i="5"/>
  <c r="G30" i="5"/>
  <c r="H30" i="5"/>
  <c r="I30" i="5"/>
  <c r="J30" i="5"/>
  <c r="K30" i="5"/>
  <c r="L30" i="5"/>
  <c r="M30" i="5"/>
  <c r="N30" i="5"/>
  <c r="O30" i="5"/>
  <c r="P30" i="5"/>
  <c r="Q30" i="5"/>
  <c r="F31" i="5"/>
  <c r="G31" i="5"/>
  <c r="H31" i="5"/>
  <c r="I31" i="5"/>
  <c r="J31" i="5"/>
  <c r="K31" i="5"/>
  <c r="L31" i="5"/>
  <c r="M31" i="5"/>
  <c r="N31" i="5"/>
  <c r="O31" i="5"/>
  <c r="P31" i="5"/>
  <c r="Q31" i="5"/>
  <c r="F32" i="5"/>
  <c r="G32" i="5"/>
  <c r="H32" i="5"/>
  <c r="I32" i="5"/>
  <c r="J32" i="5"/>
  <c r="K32" i="5"/>
  <c r="L32" i="5"/>
  <c r="M32" i="5"/>
  <c r="N32" i="5"/>
  <c r="O32" i="5"/>
  <c r="P32" i="5"/>
  <c r="Q32" i="5"/>
  <c r="F33" i="5"/>
  <c r="G33" i="5"/>
  <c r="H33" i="5"/>
  <c r="I33" i="5"/>
  <c r="J33" i="5"/>
  <c r="K33" i="5"/>
  <c r="L33" i="5"/>
  <c r="M33" i="5"/>
  <c r="N33" i="5"/>
  <c r="O33" i="5"/>
  <c r="P33" i="5"/>
  <c r="Q33" i="5"/>
  <c r="F34" i="5"/>
  <c r="G34" i="5"/>
  <c r="H34" i="5"/>
  <c r="I34" i="5"/>
  <c r="J34" i="5"/>
  <c r="K34" i="5"/>
  <c r="L34" i="5"/>
  <c r="M34" i="5"/>
  <c r="N34" i="5"/>
  <c r="O34" i="5"/>
  <c r="P34" i="5"/>
  <c r="Q34" i="5"/>
  <c r="F35" i="5"/>
  <c r="G35" i="5"/>
  <c r="H35" i="5"/>
  <c r="I35" i="5"/>
  <c r="J35" i="5"/>
  <c r="K35" i="5"/>
  <c r="L35" i="5"/>
  <c r="M35" i="5"/>
  <c r="N35" i="5"/>
  <c r="O35" i="5"/>
  <c r="P35" i="5"/>
  <c r="Q35" i="5"/>
  <c r="F36" i="5"/>
  <c r="G36" i="5"/>
  <c r="H36" i="5"/>
  <c r="I36" i="5"/>
  <c r="J36" i="5"/>
  <c r="K36" i="5"/>
  <c r="L36" i="5"/>
  <c r="M36" i="5"/>
  <c r="N36" i="5"/>
  <c r="O36" i="5"/>
  <c r="P36" i="5"/>
  <c r="Q36" i="5"/>
  <c r="F37" i="5"/>
  <c r="G37" i="5"/>
  <c r="H37" i="5"/>
  <c r="I37" i="5"/>
  <c r="J37" i="5"/>
  <c r="K37" i="5"/>
  <c r="L37" i="5"/>
  <c r="M37" i="5"/>
  <c r="N37" i="5"/>
  <c r="O37" i="5"/>
  <c r="P37" i="5"/>
  <c r="Q37" i="5"/>
  <c r="R37" i="5"/>
  <c r="F38" i="5"/>
  <c r="G38" i="5"/>
  <c r="H38" i="5"/>
  <c r="I38" i="5"/>
  <c r="J38" i="5"/>
  <c r="K38" i="5"/>
  <c r="L38" i="5"/>
  <c r="M38" i="5"/>
  <c r="N38" i="5"/>
  <c r="O38" i="5"/>
  <c r="P38" i="5"/>
  <c r="Q38" i="5"/>
  <c r="R38" i="5"/>
  <c r="F39" i="5"/>
  <c r="G39" i="5"/>
  <c r="H39" i="5"/>
  <c r="I39" i="5"/>
  <c r="J39" i="5"/>
  <c r="K39" i="5"/>
  <c r="L39" i="5"/>
  <c r="M39" i="5"/>
  <c r="N39" i="5"/>
  <c r="O39" i="5"/>
  <c r="P39" i="5"/>
  <c r="Q39" i="5"/>
  <c r="R39" i="5"/>
  <c r="U39" i="5"/>
  <c r="F40" i="5"/>
  <c r="G40" i="5"/>
  <c r="H40" i="5"/>
  <c r="I40" i="5"/>
  <c r="J40" i="5"/>
  <c r="K40" i="5"/>
  <c r="L40" i="5"/>
  <c r="M40" i="5"/>
  <c r="N40" i="5"/>
  <c r="O40" i="5"/>
  <c r="P40" i="5"/>
  <c r="Q40" i="5"/>
  <c r="R40" i="5"/>
  <c r="U40" i="5"/>
  <c r="F41" i="5"/>
  <c r="G41" i="5"/>
  <c r="H41" i="5"/>
  <c r="I41" i="5"/>
  <c r="J41" i="5"/>
  <c r="L41" i="5"/>
  <c r="M41" i="5"/>
  <c r="N41" i="5"/>
  <c r="O41" i="5"/>
  <c r="P41" i="5"/>
  <c r="Q41" i="5"/>
  <c r="R41" i="5"/>
  <c r="F42" i="5"/>
  <c r="G42" i="5"/>
  <c r="H42" i="5"/>
  <c r="I42" i="5"/>
  <c r="J42" i="5"/>
  <c r="K42" i="5"/>
  <c r="L42" i="5"/>
  <c r="M42" i="5"/>
  <c r="N42" i="5"/>
  <c r="O42" i="5"/>
  <c r="P42" i="5"/>
  <c r="Q42" i="5"/>
  <c r="F43" i="5"/>
  <c r="G43" i="5"/>
  <c r="H43" i="5"/>
  <c r="I43" i="5"/>
  <c r="J43" i="5"/>
  <c r="K43" i="5"/>
  <c r="L43" i="5"/>
  <c r="M43" i="5"/>
  <c r="N43" i="5"/>
  <c r="O43" i="5"/>
  <c r="P43" i="5"/>
  <c r="Q43" i="5"/>
  <c r="F44" i="5"/>
  <c r="G44" i="5"/>
  <c r="H44" i="5"/>
  <c r="I44" i="5"/>
  <c r="J44" i="5"/>
  <c r="K44" i="5"/>
  <c r="L44" i="5"/>
  <c r="M44" i="5"/>
  <c r="N44" i="5"/>
  <c r="O44" i="5"/>
  <c r="P44" i="5"/>
  <c r="Q44" i="5"/>
  <c r="F45" i="5"/>
  <c r="G45" i="5"/>
  <c r="H45" i="5"/>
  <c r="I45" i="5"/>
  <c r="J45" i="5"/>
  <c r="K45" i="5"/>
  <c r="L45" i="5"/>
  <c r="M45" i="5"/>
  <c r="N45" i="5"/>
  <c r="O45" i="5"/>
  <c r="P45" i="5"/>
  <c r="Q45" i="5"/>
  <c r="F46" i="5"/>
  <c r="G46" i="5"/>
  <c r="H46" i="5"/>
  <c r="I46" i="5"/>
  <c r="J46" i="5"/>
  <c r="K46" i="5"/>
  <c r="L46" i="5"/>
  <c r="M46" i="5"/>
  <c r="N46" i="5"/>
  <c r="O46" i="5"/>
  <c r="P46" i="5"/>
  <c r="Q46" i="5"/>
  <c r="F47" i="5"/>
  <c r="G47" i="5"/>
  <c r="H47" i="5"/>
  <c r="I47" i="5"/>
  <c r="J47" i="5"/>
  <c r="K47" i="5"/>
  <c r="L47" i="5"/>
  <c r="M47" i="5"/>
  <c r="N47" i="5"/>
  <c r="O47" i="5"/>
  <c r="P47" i="5"/>
  <c r="Q47" i="5"/>
  <c r="F48" i="5"/>
  <c r="G48" i="5"/>
  <c r="H48" i="5"/>
  <c r="I48" i="5"/>
  <c r="J48" i="5"/>
  <c r="K48" i="5"/>
  <c r="L48" i="5"/>
  <c r="M48" i="5"/>
  <c r="N48" i="5"/>
  <c r="O48" i="5"/>
  <c r="P48" i="5"/>
  <c r="Q48" i="5"/>
  <c r="G49" i="5"/>
  <c r="F15" i="7"/>
  <c r="G15" i="7"/>
  <c r="H15" i="7"/>
  <c r="I15" i="7"/>
  <c r="K15" i="7"/>
  <c r="H16" i="7"/>
  <c r="K16" i="7"/>
  <c r="F17" i="7"/>
  <c r="G17" i="7"/>
  <c r="H17" i="7"/>
  <c r="I17" i="7"/>
  <c r="J17" i="7"/>
  <c r="K17" i="7"/>
  <c r="F18" i="7"/>
  <c r="G18" i="7"/>
  <c r="H18" i="7"/>
  <c r="I18" i="7"/>
  <c r="J18" i="7"/>
  <c r="K18" i="7"/>
  <c r="F19" i="7"/>
  <c r="G19" i="7"/>
  <c r="H19" i="7"/>
  <c r="I19" i="7"/>
  <c r="J19" i="7"/>
  <c r="K19" i="7"/>
  <c r="F20" i="7"/>
  <c r="G20" i="7"/>
  <c r="H20" i="7"/>
  <c r="I20" i="7"/>
  <c r="J20" i="7"/>
  <c r="K20" i="7"/>
  <c r="F21" i="7"/>
  <c r="G21" i="7"/>
  <c r="H21" i="7"/>
  <c r="I21" i="7"/>
  <c r="J21" i="7"/>
  <c r="K21" i="7"/>
  <c r="F22" i="7"/>
  <c r="G22" i="7"/>
  <c r="H22" i="7"/>
  <c r="I22" i="7"/>
  <c r="J22" i="7"/>
  <c r="K22" i="7"/>
  <c r="F23" i="7"/>
  <c r="G23" i="7"/>
  <c r="H23" i="7"/>
  <c r="I23" i="7"/>
  <c r="J23" i="7"/>
  <c r="K23" i="7"/>
  <c r="F24" i="7"/>
  <c r="G24" i="7"/>
  <c r="H24" i="7"/>
  <c r="I24" i="7"/>
  <c r="J24" i="7"/>
  <c r="K24" i="7"/>
  <c r="F25" i="7"/>
  <c r="G25" i="7"/>
  <c r="H25" i="7"/>
  <c r="I25" i="7"/>
  <c r="J25" i="7"/>
  <c r="K25" i="7"/>
  <c r="F26" i="7"/>
  <c r="G26" i="7"/>
  <c r="H26" i="7"/>
  <c r="I26" i="7"/>
  <c r="J26" i="7"/>
  <c r="K26" i="7"/>
  <c r="F27" i="7"/>
  <c r="G27" i="7"/>
  <c r="H27" i="7"/>
  <c r="I27" i="7"/>
  <c r="J27" i="7"/>
  <c r="K27" i="7"/>
  <c r="F28" i="7"/>
  <c r="G28" i="7"/>
  <c r="H28" i="7"/>
  <c r="H49" i="7"/>
  <c r="I28" i="7"/>
  <c r="J28" i="7"/>
  <c r="K28" i="7"/>
  <c r="F29" i="7"/>
  <c r="G29" i="7"/>
  <c r="H29" i="7"/>
  <c r="I29" i="7"/>
  <c r="J29" i="7"/>
  <c r="K29" i="7"/>
  <c r="F30" i="7"/>
  <c r="G30" i="7"/>
  <c r="H30" i="7"/>
  <c r="I30" i="7"/>
  <c r="J30" i="7"/>
  <c r="K30" i="7"/>
  <c r="F31" i="7"/>
  <c r="G31" i="7"/>
  <c r="H31" i="7"/>
  <c r="I31" i="7"/>
  <c r="J31" i="7"/>
  <c r="K31" i="7"/>
  <c r="F32" i="7"/>
  <c r="G32" i="7"/>
  <c r="H32" i="7"/>
  <c r="I32" i="7"/>
  <c r="J32" i="7"/>
  <c r="K32" i="7"/>
  <c r="F33" i="7"/>
  <c r="G33" i="7"/>
  <c r="H33" i="7"/>
  <c r="I33" i="7"/>
  <c r="J33" i="7"/>
  <c r="K33" i="7"/>
  <c r="F34" i="7"/>
  <c r="G34" i="7"/>
  <c r="H34" i="7"/>
  <c r="I34" i="7"/>
  <c r="J34" i="7"/>
  <c r="K34" i="7"/>
  <c r="F35" i="7"/>
  <c r="G35" i="7"/>
  <c r="H35" i="7"/>
  <c r="I35" i="7"/>
  <c r="J35" i="7"/>
  <c r="K35" i="7"/>
  <c r="R35" i="7"/>
  <c r="F36" i="7"/>
  <c r="G36" i="7"/>
  <c r="H36" i="7"/>
  <c r="I36" i="7"/>
  <c r="J36" i="7"/>
  <c r="K36" i="7"/>
  <c r="F37" i="7"/>
  <c r="G37" i="7"/>
  <c r="H37" i="7"/>
  <c r="I37" i="7"/>
  <c r="J37" i="7"/>
  <c r="K37" i="7"/>
  <c r="F38" i="7"/>
  <c r="G38" i="7"/>
  <c r="H38" i="7"/>
  <c r="I38" i="7"/>
  <c r="J38" i="7"/>
  <c r="K38" i="7"/>
  <c r="F40" i="7"/>
  <c r="G40" i="7"/>
  <c r="H40" i="7"/>
  <c r="I40" i="7"/>
  <c r="J40" i="7"/>
  <c r="K40" i="7"/>
  <c r="F41" i="7"/>
  <c r="G41" i="7"/>
  <c r="H41" i="7"/>
  <c r="I41" i="7"/>
  <c r="J41" i="7"/>
  <c r="K41" i="7"/>
  <c r="F42" i="7"/>
  <c r="G42" i="7"/>
  <c r="H42" i="7"/>
  <c r="I42" i="7"/>
  <c r="J42" i="7"/>
  <c r="K42" i="7"/>
  <c r="F43" i="7"/>
  <c r="G43" i="7"/>
  <c r="H43" i="7"/>
  <c r="I43" i="7"/>
  <c r="J43" i="7"/>
  <c r="K43" i="7"/>
  <c r="F44" i="7"/>
  <c r="G44" i="7"/>
  <c r="H44" i="7"/>
  <c r="I44" i="7"/>
  <c r="J44" i="7"/>
  <c r="K44" i="7"/>
  <c r="F45" i="7"/>
  <c r="G45" i="7"/>
  <c r="H45" i="7"/>
  <c r="I45" i="7"/>
  <c r="J45" i="7"/>
  <c r="K45" i="7"/>
  <c r="F46" i="7"/>
  <c r="G46" i="7"/>
  <c r="H46" i="7"/>
  <c r="I46" i="7"/>
  <c r="J46" i="7"/>
  <c r="K46" i="7"/>
  <c r="F47" i="7"/>
  <c r="G47" i="7"/>
  <c r="H47" i="7"/>
  <c r="I47" i="7"/>
  <c r="J47" i="7"/>
  <c r="K47" i="7"/>
  <c r="F48" i="7"/>
  <c r="G48" i="7"/>
  <c r="H48" i="7"/>
  <c r="I48" i="7"/>
  <c r="J48" i="7"/>
  <c r="K48" i="7"/>
  <c r="G15" i="12"/>
  <c r="H15" i="12"/>
  <c r="I15" i="12"/>
  <c r="G16" i="12"/>
  <c r="H16" i="12"/>
  <c r="I16" i="12"/>
  <c r="G17" i="12"/>
  <c r="H17" i="12"/>
  <c r="I17" i="12"/>
  <c r="G18" i="12"/>
  <c r="H18" i="12"/>
  <c r="I18" i="12"/>
  <c r="G19" i="12"/>
  <c r="H19" i="12"/>
  <c r="I19" i="12"/>
  <c r="G20" i="12"/>
  <c r="H20" i="12"/>
  <c r="I20" i="12"/>
  <c r="G21" i="12"/>
  <c r="H21" i="12"/>
  <c r="I21" i="12"/>
  <c r="G22" i="12"/>
  <c r="H22" i="12"/>
  <c r="I22" i="12"/>
  <c r="G23" i="12"/>
  <c r="H23" i="12"/>
  <c r="I23" i="12"/>
  <c r="G24" i="12"/>
  <c r="H24" i="12"/>
  <c r="I24" i="12"/>
  <c r="G25" i="12"/>
  <c r="H25" i="12"/>
  <c r="I25" i="12"/>
  <c r="G26" i="12"/>
  <c r="H26" i="12"/>
  <c r="I26" i="12"/>
  <c r="G27" i="12"/>
  <c r="H27" i="12"/>
  <c r="I27" i="12"/>
  <c r="G28" i="12"/>
  <c r="H28" i="12"/>
  <c r="I28" i="12"/>
  <c r="G29" i="12"/>
  <c r="H29" i="12"/>
  <c r="I29" i="12"/>
  <c r="G30" i="12"/>
  <c r="H30" i="12"/>
  <c r="I30" i="12"/>
  <c r="G31" i="12"/>
  <c r="H31" i="12"/>
  <c r="I31" i="12"/>
  <c r="G32" i="12"/>
  <c r="H32" i="12"/>
  <c r="I32" i="12"/>
  <c r="J32" i="12"/>
  <c r="G33" i="12"/>
  <c r="H33" i="12"/>
  <c r="I33" i="12"/>
  <c r="G34" i="12"/>
  <c r="H34" i="12"/>
  <c r="I34" i="12"/>
  <c r="G35" i="12"/>
  <c r="H35" i="12"/>
  <c r="I35" i="12"/>
  <c r="F15" i="9"/>
  <c r="G15" i="9"/>
  <c r="H15" i="9"/>
  <c r="I15" i="9"/>
  <c r="J15" i="9"/>
  <c r="K15" i="9"/>
  <c r="L15" i="9"/>
  <c r="M15" i="9"/>
  <c r="N15" i="9"/>
  <c r="O15" i="9"/>
  <c r="P15" i="9"/>
  <c r="Q15" i="9"/>
  <c r="F16" i="9"/>
  <c r="G16" i="9"/>
  <c r="H16" i="9"/>
  <c r="I16" i="9"/>
  <c r="J16" i="9"/>
  <c r="K16" i="9"/>
  <c r="L16" i="9"/>
  <c r="M16" i="9"/>
  <c r="N16" i="9"/>
  <c r="O16" i="9"/>
  <c r="P16" i="9"/>
  <c r="Q16" i="9"/>
  <c r="R16" i="9"/>
  <c r="J16" i="11"/>
  <c r="J16" i="12"/>
  <c r="F17" i="9"/>
  <c r="G17" i="9"/>
  <c r="H17" i="9"/>
  <c r="I17" i="9"/>
  <c r="J17" i="9"/>
  <c r="K17" i="9"/>
  <c r="L17" i="9"/>
  <c r="M17" i="9"/>
  <c r="N17" i="9"/>
  <c r="O17" i="9"/>
  <c r="P17" i="9"/>
  <c r="Q17" i="9"/>
  <c r="F18" i="9"/>
  <c r="G18" i="9"/>
  <c r="R18" i="9"/>
  <c r="H18" i="9"/>
  <c r="I18" i="9"/>
  <c r="J18" i="9"/>
  <c r="K18" i="9"/>
  <c r="L18" i="9"/>
  <c r="M18" i="9"/>
  <c r="N18" i="9"/>
  <c r="O18" i="9"/>
  <c r="P18" i="9"/>
  <c r="Q18" i="9"/>
  <c r="F19" i="9"/>
  <c r="G19" i="9"/>
  <c r="H19" i="9"/>
  <c r="I19" i="9"/>
  <c r="J19" i="9"/>
  <c r="K19" i="9"/>
  <c r="L19" i="9"/>
  <c r="M19" i="9"/>
  <c r="N19" i="9"/>
  <c r="O19" i="9"/>
  <c r="P19" i="9"/>
  <c r="Q19" i="9"/>
  <c r="F20" i="9"/>
  <c r="G20" i="9"/>
  <c r="H20" i="9"/>
  <c r="I20" i="9"/>
  <c r="J20" i="9"/>
  <c r="M20" i="9"/>
  <c r="N20" i="9"/>
  <c r="O20" i="9"/>
  <c r="F21" i="9"/>
  <c r="G21" i="9"/>
  <c r="H21" i="9"/>
  <c r="I21" i="9"/>
  <c r="J21" i="9"/>
  <c r="K21" i="9"/>
  <c r="L21" i="9"/>
  <c r="M21" i="9"/>
  <c r="N21" i="9"/>
  <c r="O21" i="9"/>
  <c r="P21" i="9"/>
  <c r="Q21" i="9"/>
  <c r="F22" i="9"/>
  <c r="G22" i="9"/>
  <c r="R22" i="9"/>
  <c r="H22" i="9"/>
  <c r="I22" i="9"/>
  <c r="J22" i="9"/>
  <c r="K22" i="9"/>
  <c r="L22" i="9"/>
  <c r="M22" i="9"/>
  <c r="N22" i="9"/>
  <c r="O22" i="9"/>
  <c r="P22" i="9"/>
  <c r="Q22" i="9"/>
  <c r="F23" i="9"/>
  <c r="G23" i="9"/>
  <c r="H23" i="9"/>
  <c r="I23" i="9"/>
  <c r="J23" i="9"/>
  <c r="K23" i="9"/>
  <c r="L23" i="9"/>
  <c r="M23" i="9"/>
  <c r="N23" i="9"/>
  <c r="O23" i="9"/>
  <c r="P23" i="9"/>
  <c r="F24" i="9"/>
  <c r="G24" i="9"/>
  <c r="H24" i="9"/>
  <c r="I24" i="9"/>
  <c r="J24" i="9"/>
  <c r="K24" i="9"/>
  <c r="L24" i="9"/>
  <c r="M24" i="9"/>
  <c r="N24" i="9"/>
  <c r="O24" i="9"/>
  <c r="P24" i="9"/>
  <c r="Q24" i="9"/>
  <c r="R24" i="9"/>
  <c r="S24" i="9"/>
  <c r="F25" i="9"/>
  <c r="G25" i="9"/>
  <c r="H25" i="9"/>
  <c r="I25" i="9"/>
  <c r="J25" i="9"/>
  <c r="K25" i="9"/>
  <c r="L25" i="9"/>
  <c r="M25" i="9"/>
  <c r="N25" i="9"/>
  <c r="O25" i="9"/>
  <c r="P25" i="9"/>
  <c r="Q25" i="9"/>
  <c r="F26" i="9"/>
  <c r="G26" i="9"/>
  <c r="R26" i="9"/>
  <c r="H26" i="9"/>
  <c r="I26" i="9"/>
  <c r="J26" i="9"/>
  <c r="K26" i="9"/>
  <c r="L26" i="9"/>
  <c r="M26" i="9"/>
  <c r="N26" i="9"/>
  <c r="O26" i="9"/>
  <c r="P26" i="9"/>
  <c r="Q26" i="9"/>
  <c r="F27" i="9"/>
  <c r="G27" i="9"/>
  <c r="H27" i="9"/>
  <c r="I27" i="9"/>
  <c r="J27" i="9"/>
  <c r="K27" i="9"/>
  <c r="L27" i="9"/>
  <c r="M27" i="9"/>
  <c r="N27" i="9"/>
  <c r="O27" i="9"/>
  <c r="P27" i="9"/>
  <c r="Q27" i="9"/>
  <c r="F28" i="9"/>
  <c r="G28" i="9"/>
  <c r="H28" i="9"/>
  <c r="I28" i="9"/>
  <c r="J28" i="9"/>
  <c r="K28" i="9"/>
  <c r="L28" i="9"/>
  <c r="M28" i="9"/>
  <c r="N28" i="9"/>
  <c r="O28" i="9"/>
  <c r="P28" i="9"/>
  <c r="Q28" i="9"/>
  <c r="R28" i="9"/>
  <c r="J28" i="11"/>
  <c r="F29" i="9"/>
  <c r="G29" i="9"/>
  <c r="H29" i="9"/>
  <c r="I29" i="9"/>
  <c r="J29" i="9"/>
  <c r="K29" i="9"/>
  <c r="L29" i="9"/>
  <c r="M29" i="9"/>
  <c r="N29" i="9"/>
  <c r="O29" i="9"/>
  <c r="P29" i="9"/>
  <c r="Q29" i="9"/>
  <c r="F30" i="9"/>
  <c r="G30" i="9"/>
  <c r="R30" i="9"/>
  <c r="H30" i="9"/>
  <c r="I30" i="9"/>
  <c r="J30" i="9"/>
  <c r="K30" i="9"/>
  <c r="L30" i="9"/>
  <c r="M30" i="9"/>
  <c r="N30" i="9"/>
  <c r="O30" i="9"/>
  <c r="P30" i="9"/>
  <c r="Q30" i="9"/>
  <c r="F31" i="9"/>
  <c r="G31" i="9"/>
  <c r="H31" i="9"/>
  <c r="I31" i="9"/>
  <c r="J31" i="9"/>
  <c r="K31" i="9"/>
  <c r="L31" i="9"/>
  <c r="M31" i="9"/>
  <c r="N31" i="9"/>
  <c r="O31" i="9"/>
  <c r="P31" i="9"/>
  <c r="Q31" i="9"/>
  <c r="F32" i="9"/>
  <c r="G32" i="9"/>
  <c r="H32" i="9"/>
  <c r="I32" i="9"/>
  <c r="J32" i="9"/>
  <c r="K32" i="9"/>
  <c r="L32" i="9"/>
  <c r="M32" i="9"/>
  <c r="N32" i="9"/>
  <c r="O32" i="9"/>
  <c r="P32" i="9"/>
  <c r="Q32" i="9"/>
  <c r="R32" i="9"/>
  <c r="S32" i="9"/>
  <c r="F33" i="9"/>
  <c r="G33" i="9"/>
  <c r="H33" i="9"/>
  <c r="I33" i="9"/>
  <c r="J33" i="9"/>
  <c r="K33" i="9"/>
  <c r="L33" i="9"/>
  <c r="M33" i="9"/>
  <c r="N33" i="9"/>
  <c r="O33" i="9"/>
  <c r="P33" i="9"/>
  <c r="Q33" i="9"/>
  <c r="S33" i="9"/>
  <c r="F34" i="9"/>
  <c r="G34" i="9"/>
  <c r="R34" i="9"/>
  <c r="H34" i="9"/>
  <c r="I34" i="9"/>
  <c r="J34" i="9"/>
  <c r="K34" i="9"/>
  <c r="L34" i="9"/>
  <c r="M34" i="9"/>
  <c r="N34" i="9"/>
  <c r="O34" i="9"/>
  <c r="P34" i="9"/>
  <c r="Q34" i="9"/>
  <c r="F35" i="9"/>
  <c r="G35" i="9"/>
  <c r="H35" i="9"/>
  <c r="I35" i="9"/>
  <c r="J35" i="9"/>
  <c r="K35" i="9"/>
  <c r="L35" i="9"/>
  <c r="M35" i="9"/>
  <c r="N35" i="9"/>
  <c r="O35" i="9"/>
  <c r="P35" i="9"/>
  <c r="Q35" i="9"/>
  <c r="F15" i="10"/>
  <c r="G15" i="10"/>
  <c r="H15" i="10"/>
  <c r="I15" i="10"/>
  <c r="J15" i="10"/>
  <c r="K15" i="10"/>
  <c r="L15" i="10"/>
  <c r="M15" i="10"/>
  <c r="N15" i="10"/>
  <c r="O15" i="10"/>
  <c r="P15" i="10"/>
  <c r="Q15" i="10"/>
  <c r="R15" i="10"/>
  <c r="K15" i="11"/>
  <c r="K16" i="10"/>
  <c r="L16" i="10"/>
  <c r="M16" i="10"/>
  <c r="N16" i="10"/>
  <c r="O16" i="10"/>
  <c r="P16" i="10"/>
  <c r="Q16" i="10"/>
  <c r="F17" i="10"/>
  <c r="G17" i="10"/>
  <c r="R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R19" i="10"/>
  <c r="K19" i="11"/>
  <c r="L19" i="11"/>
  <c r="F20" i="10"/>
  <c r="G20" i="10"/>
  <c r="H20" i="10"/>
  <c r="I20" i="10"/>
  <c r="J20" i="10"/>
  <c r="K20" i="10"/>
  <c r="L20" i="10"/>
  <c r="M20" i="10"/>
  <c r="N20" i="10"/>
  <c r="O20" i="10"/>
  <c r="P20" i="10"/>
  <c r="Q20" i="10"/>
  <c r="F21" i="10"/>
  <c r="G21" i="10"/>
  <c r="R21" i="10"/>
  <c r="H21" i="10"/>
  <c r="I21" i="10"/>
  <c r="J21" i="10"/>
  <c r="K21" i="10"/>
  <c r="L21" i="10"/>
  <c r="M21" i="10"/>
  <c r="N21" i="10"/>
  <c r="O21" i="10"/>
  <c r="P21" i="10"/>
  <c r="Q21" i="10"/>
  <c r="F22" i="10"/>
  <c r="G22" i="10"/>
  <c r="H22" i="10"/>
  <c r="I22" i="10"/>
  <c r="J22" i="10"/>
  <c r="K22" i="10"/>
  <c r="L22" i="10"/>
  <c r="M22" i="10"/>
  <c r="N22" i="10"/>
  <c r="O22" i="10"/>
  <c r="P22" i="10"/>
  <c r="Q22" i="10"/>
  <c r="F23" i="10"/>
  <c r="G23" i="10"/>
  <c r="H23" i="10"/>
  <c r="I23" i="10"/>
  <c r="J23" i="10"/>
  <c r="K23" i="10"/>
  <c r="L23" i="10"/>
  <c r="M23" i="10"/>
  <c r="N23" i="10"/>
  <c r="O23" i="10"/>
  <c r="P23" i="10"/>
  <c r="Q23" i="10"/>
  <c r="R23" i="10"/>
  <c r="K23" i="11"/>
  <c r="F24" i="10"/>
  <c r="G24" i="10"/>
  <c r="H24" i="10"/>
  <c r="I24" i="10"/>
  <c r="J24" i="10"/>
  <c r="K24" i="10"/>
  <c r="L24" i="10"/>
  <c r="M24" i="10"/>
  <c r="N24" i="10"/>
  <c r="O24" i="10"/>
  <c r="P24" i="10"/>
  <c r="Q24" i="10"/>
  <c r="F25" i="10"/>
  <c r="G25" i="10"/>
  <c r="R25" i="10"/>
  <c r="H25" i="10"/>
  <c r="I25" i="10"/>
  <c r="J25" i="10"/>
  <c r="K25" i="10"/>
  <c r="L25" i="10"/>
  <c r="M25" i="10"/>
  <c r="N25" i="10"/>
  <c r="O25" i="10"/>
  <c r="P25" i="10"/>
  <c r="Q25" i="10"/>
  <c r="F26" i="10"/>
  <c r="G26" i="10"/>
  <c r="H26" i="10"/>
  <c r="I26" i="10"/>
  <c r="J26" i="10"/>
  <c r="K26" i="10"/>
  <c r="L26" i="10"/>
  <c r="M26" i="10"/>
  <c r="N26" i="10"/>
  <c r="O26" i="10"/>
  <c r="P26" i="10"/>
  <c r="Q26" i="10"/>
  <c r="F27" i="10"/>
  <c r="G27" i="10"/>
  <c r="H27" i="10"/>
  <c r="I27" i="10"/>
  <c r="J27" i="10"/>
  <c r="K27" i="10"/>
  <c r="L27" i="10"/>
  <c r="M27" i="10"/>
  <c r="N27" i="10"/>
  <c r="O27" i="10"/>
  <c r="P27" i="10"/>
  <c r="Q27" i="10"/>
  <c r="R27" i="10"/>
  <c r="K27" i="11"/>
  <c r="F28" i="10"/>
  <c r="G28" i="10"/>
  <c r="H28" i="10"/>
  <c r="I28" i="10"/>
  <c r="J28" i="10"/>
  <c r="K28" i="10"/>
  <c r="L28" i="10"/>
  <c r="M28" i="10"/>
  <c r="N28" i="10"/>
  <c r="O28" i="10"/>
  <c r="P28" i="10"/>
  <c r="Q28" i="10"/>
  <c r="F29" i="10"/>
  <c r="G29" i="10"/>
  <c r="R29" i="10"/>
  <c r="H29" i="10"/>
  <c r="I29" i="10"/>
  <c r="J29" i="10"/>
  <c r="K29" i="10"/>
  <c r="L29" i="10"/>
  <c r="M29" i="10"/>
  <c r="N29" i="10"/>
  <c r="O29" i="10"/>
  <c r="P29" i="10"/>
  <c r="Q29" i="10"/>
  <c r="F30" i="10"/>
  <c r="G30" i="10"/>
  <c r="H30" i="10"/>
  <c r="I30" i="10"/>
  <c r="J30" i="10"/>
  <c r="K30" i="10"/>
  <c r="L30" i="10"/>
  <c r="M30" i="10"/>
  <c r="N30" i="10"/>
  <c r="O30" i="10"/>
  <c r="P30" i="10"/>
  <c r="Q30" i="10"/>
  <c r="F31" i="10"/>
  <c r="G31" i="10"/>
  <c r="H31" i="10"/>
  <c r="I31" i="10"/>
  <c r="J31" i="10"/>
  <c r="K31" i="10"/>
  <c r="L31" i="10"/>
  <c r="M31" i="10"/>
  <c r="N31" i="10"/>
  <c r="O31" i="10"/>
  <c r="P31" i="10"/>
  <c r="Q31" i="10"/>
  <c r="R31" i="10"/>
  <c r="K31" i="11"/>
  <c r="L31" i="11"/>
  <c r="F32" i="10"/>
  <c r="G32" i="10"/>
  <c r="H32" i="10"/>
  <c r="R32" i="10"/>
  <c r="J32" i="10"/>
  <c r="K32" i="10"/>
  <c r="L32" i="10"/>
  <c r="M32" i="10"/>
  <c r="N32" i="10"/>
  <c r="O32" i="10"/>
  <c r="P32" i="10"/>
  <c r="Q32" i="10"/>
  <c r="F33" i="10"/>
  <c r="G33" i="10"/>
  <c r="H33" i="10"/>
  <c r="R33" i="10"/>
  <c r="I33" i="10"/>
  <c r="J33" i="10"/>
  <c r="K33" i="10"/>
  <c r="L33" i="10"/>
  <c r="M33" i="10"/>
  <c r="N33" i="10"/>
  <c r="O33" i="10"/>
  <c r="P33" i="10"/>
  <c r="Q33" i="10"/>
  <c r="F34" i="10"/>
  <c r="G34" i="10"/>
  <c r="H34" i="10"/>
  <c r="I34" i="10"/>
  <c r="J34" i="10"/>
  <c r="K34" i="10"/>
  <c r="L34" i="10"/>
  <c r="M34" i="10"/>
  <c r="N34" i="10"/>
  <c r="O34" i="10"/>
  <c r="P34" i="10"/>
  <c r="Q34" i="10"/>
  <c r="R34" i="10"/>
  <c r="F35" i="10"/>
  <c r="G35" i="10"/>
  <c r="R35" i="10"/>
  <c r="H35" i="10"/>
  <c r="I35" i="10"/>
  <c r="J35" i="10"/>
  <c r="K35" i="10"/>
  <c r="L35" i="10"/>
  <c r="M35" i="10"/>
  <c r="N35" i="10"/>
  <c r="O35" i="10"/>
  <c r="P35" i="10"/>
  <c r="Q35" i="10"/>
  <c r="R9" i="16"/>
  <c r="U9" i="16"/>
  <c r="V9" i="16"/>
  <c r="Q10" i="16"/>
  <c r="U10" i="16"/>
  <c r="V10" i="16"/>
  <c r="R11" i="16"/>
  <c r="U11" i="16"/>
  <c r="V11" i="16"/>
  <c r="R12" i="16"/>
  <c r="U12" i="16"/>
  <c r="V12" i="16"/>
  <c r="R13" i="16"/>
  <c r="U13" i="16"/>
  <c r="V13" i="16"/>
  <c r="R14" i="16"/>
  <c r="U14" i="16"/>
  <c r="V14" i="16"/>
  <c r="R15" i="16"/>
  <c r="U15" i="16"/>
  <c r="V15" i="16"/>
  <c r="R16" i="16"/>
  <c r="U16" i="16"/>
  <c r="V16" i="16"/>
  <c r="R17" i="16"/>
  <c r="U17" i="16"/>
  <c r="V17" i="16"/>
  <c r="Q18" i="16"/>
  <c r="R18" i="16"/>
  <c r="Q19" i="16"/>
  <c r="U19" i="16"/>
  <c r="Q20" i="16"/>
  <c r="R20" i="16"/>
  <c r="J21" i="16"/>
  <c r="L21" i="16"/>
  <c r="N21" i="16"/>
  <c r="P21" i="16"/>
  <c r="R22" i="16"/>
  <c r="U22" i="16"/>
  <c r="V22" i="16"/>
  <c r="R23" i="16"/>
  <c r="U23" i="16"/>
  <c r="V23" i="16"/>
  <c r="Q24" i="16"/>
  <c r="U24" i="16"/>
  <c r="V24" i="16"/>
  <c r="R25" i="16"/>
  <c r="U25" i="16"/>
  <c r="V25" i="16"/>
  <c r="R26" i="16"/>
  <c r="U26" i="16"/>
  <c r="V26" i="16"/>
  <c r="R27" i="16"/>
  <c r="Q28" i="16"/>
  <c r="Q29" i="16"/>
  <c r="R30" i="16"/>
  <c r="U30" i="16"/>
  <c r="V30" i="16"/>
  <c r="R31" i="16"/>
  <c r="V31" i="16"/>
  <c r="Q32" i="16"/>
  <c r="R33" i="16"/>
  <c r="V33" i="16"/>
  <c r="R34" i="16"/>
  <c r="U34" i="16"/>
  <c r="V34" i="16"/>
  <c r="Q37" i="16"/>
  <c r="R15" i="4"/>
  <c r="T15" i="4"/>
  <c r="U15" i="4"/>
  <c r="R16" i="4"/>
  <c r="T16" i="4"/>
  <c r="R17" i="4"/>
  <c r="R17" i="5"/>
  <c r="T17" i="4"/>
  <c r="U17" i="4"/>
  <c r="R18" i="4"/>
  <c r="T18" i="4"/>
  <c r="R19" i="4"/>
  <c r="R19" i="5"/>
  <c r="T19" i="4"/>
  <c r="J20" i="4"/>
  <c r="J20" i="5"/>
  <c r="K20" i="4"/>
  <c r="L20" i="4"/>
  <c r="L20" i="9"/>
  <c r="M20" i="4"/>
  <c r="M20" i="5"/>
  <c r="N20" i="4"/>
  <c r="N20" i="5"/>
  <c r="O20" i="4"/>
  <c r="O20" i="5"/>
  <c r="P20" i="4"/>
  <c r="P20" i="9"/>
  <c r="Q20" i="4"/>
  <c r="Q20" i="5"/>
  <c r="R21" i="4"/>
  <c r="R21" i="5"/>
  <c r="T21" i="4"/>
  <c r="R22" i="4"/>
  <c r="T22" i="4"/>
  <c r="R22" i="5"/>
  <c r="R23" i="4"/>
  <c r="T23" i="4"/>
  <c r="R24" i="4"/>
  <c r="T24" i="4"/>
  <c r="R24" i="5"/>
  <c r="Q25" i="4"/>
  <c r="R25" i="4"/>
  <c r="R25" i="5"/>
  <c r="T25" i="4"/>
  <c r="R26" i="4"/>
  <c r="R26" i="5"/>
  <c r="R27" i="4"/>
  <c r="R27" i="5"/>
  <c r="T27" i="4"/>
  <c r="R28" i="4"/>
  <c r="R28" i="5"/>
  <c r="R29" i="4"/>
  <c r="T29" i="4"/>
  <c r="R30" i="4"/>
  <c r="R30" i="5"/>
  <c r="R31" i="4"/>
  <c r="R32" i="4"/>
  <c r="T32" i="4"/>
  <c r="R33" i="4"/>
  <c r="T33" i="4"/>
  <c r="R33" i="5"/>
  <c r="R34" i="4"/>
  <c r="T34" i="4"/>
  <c r="R34" i="5"/>
  <c r="R35" i="4"/>
  <c r="R35" i="5"/>
  <c r="U35" i="5"/>
  <c r="R36" i="4"/>
  <c r="R36" i="5"/>
  <c r="T36" i="4"/>
  <c r="R37" i="4"/>
  <c r="T37" i="4"/>
  <c r="R38" i="4"/>
  <c r="T38" i="4"/>
  <c r="T39" i="4"/>
  <c r="U39" i="4"/>
  <c r="R40" i="4"/>
  <c r="R33" i="9"/>
  <c r="J33" i="11"/>
  <c r="T40" i="4"/>
  <c r="U40" i="4"/>
  <c r="K41" i="4"/>
  <c r="K41" i="5"/>
  <c r="R43" i="4"/>
  <c r="R43" i="5"/>
  <c r="T43" i="4"/>
  <c r="R44" i="4"/>
  <c r="R44" i="5"/>
  <c r="R45" i="4"/>
  <c r="T45" i="4"/>
  <c r="R46" i="4"/>
  <c r="R46" i="5"/>
  <c r="U46" i="5"/>
  <c r="T46" i="4"/>
  <c r="R47" i="4"/>
  <c r="R47" i="5"/>
  <c r="T47" i="4"/>
  <c r="R48" i="4"/>
  <c r="R48" i="5"/>
  <c r="T48" i="4"/>
  <c r="U46" i="4"/>
  <c r="O49" i="4"/>
  <c r="O50" i="4"/>
  <c r="P49" i="4"/>
  <c r="P50" i="4"/>
  <c r="F50" i="4"/>
  <c r="G50" i="4"/>
  <c r="H50" i="4"/>
  <c r="I50" i="4"/>
  <c r="J50" i="4"/>
  <c r="K50" i="4"/>
  <c r="L50" i="4"/>
  <c r="M50" i="4"/>
  <c r="N50" i="4"/>
  <c r="R15" i="6"/>
  <c r="T15" i="6"/>
  <c r="F16" i="6"/>
  <c r="G16" i="6"/>
  <c r="G16" i="7"/>
  <c r="G49" i="7"/>
  <c r="H50" i="7"/>
  <c r="H16" i="6"/>
  <c r="H16" i="10"/>
  <c r="I16" i="6"/>
  <c r="I16" i="7"/>
  <c r="J16" i="6"/>
  <c r="R17" i="6"/>
  <c r="T17" i="6"/>
  <c r="R18" i="6"/>
  <c r="R18" i="7"/>
  <c r="T18" i="6"/>
  <c r="R19" i="6"/>
  <c r="R19" i="7"/>
  <c r="T19" i="6"/>
  <c r="R20" i="6"/>
  <c r="R20" i="7"/>
  <c r="R21" i="6"/>
  <c r="R21" i="7"/>
  <c r="R22" i="6"/>
  <c r="R23" i="6"/>
  <c r="T23" i="6"/>
  <c r="R23" i="7"/>
  <c r="R24" i="6"/>
  <c r="T24" i="6"/>
  <c r="R24" i="7"/>
  <c r="R25" i="6"/>
  <c r="T25" i="6"/>
  <c r="R25" i="7"/>
  <c r="R26" i="6"/>
  <c r="T26" i="6"/>
  <c r="R26" i="7"/>
  <c r="R27" i="6"/>
  <c r="T27" i="6"/>
  <c r="R27" i="7"/>
  <c r="R28" i="6"/>
  <c r="R29" i="6"/>
  <c r="T29" i="6"/>
  <c r="R29" i="7"/>
  <c r="R30" i="6"/>
  <c r="T30" i="6"/>
  <c r="U30" i="6"/>
  <c r="R31" i="6"/>
  <c r="T31" i="6"/>
  <c r="R32" i="6"/>
  <c r="T32" i="6"/>
  <c r="R32" i="7"/>
  <c r="R33" i="6"/>
  <c r="T33" i="6"/>
  <c r="R33" i="7"/>
  <c r="R34" i="6"/>
  <c r="T34" i="6"/>
  <c r="R34" i="7"/>
  <c r="R35" i="6"/>
  <c r="T35" i="6"/>
  <c r="R36" i="6"/>
  <c r="R36" i="7"/>
  <c r="R37" i="6"/>
  <c r="R38" i="6"/>
  <c r="R38" i="7"/>
  <c r="T39" i="6"/>
  <c r="R40" i="6"/>
  <c r="R40" i="7"/>
  <c r="U40" i="7"/>
  <c r="R41" i="6"/>
  <c r="R41" i="7"/>
  <c r="T41" i="6"/>
  <c r="R42" i="6"/>
  <c r="R42" i="7"/>
  <c r="T42" i="6"/>
  <c r="R43" i="6"/>
  <c r="R43" i="7"/>
  <c r="T43" i="6"/>
  <c r="R44" i="6"/>
  <c r="R45" i="6"/>
  <c r="R45" i="7"/>
  <c r="R46" i="6"/>
  <c r="R47" i="6"/>
  <c r="T47" i="6"/>
  <c r="R47" i="7"/>
  <c r="R48" i="6"/>
  <c r="R48" i="7"/>
  <c r="T48" i="6"/>
  <c r="F50" i="6"/>
  <c r="G50" i="6"/>
  <c r="H50" i="6"/>
  <c r="I50" i="6"/>
  <c r="J50" i="6"/>
  <c r="K50" i="6"/>
  <c r="L50" i="6"/>
  <c r="M50" i="6"/>
  <c r="N50" i="6"/>
  <c r="O50" i="6"/>
  <c r="P50" i="6"/>
  <c r="Q50" i="6"/>
  <c r="R37" i="7"/>
  <c r="U35" i="7"/>
  <c r="T37" i="6"/>
  <c r="K32" i="11"/>
  <c r="S32" i="10"/>
  <c r="K21" i="11"/>
  <c r="S21" i="10"/>
  <c r="J26" i="11"/>
  <c r="S26" i="9"/>
  <c r="J22" i="11"/>
  <c r="S22" i="9"/>
  <c r="J18" i="11"/>
  <c r="S18" i="9"/>
  <c r="R44" i="7"/>
  <c r="U43" i="7"/>
  <c r="T44" i="6"/>
  <c r="R17" i="7"/>
  <c r="U17" i="6"/>
  <c r="K35" i="11"/>
  <c r="S35" i="10"/>
  <c r="K33" i="11"/>
  <c r="S33" i="10"/>
  <c r="K17" i="11"/>
  <c r="S17" i="10"/>
  <c r="J34" i="11"/>
  <c r="S34" i="9"/>
  <c r="I50" i="7"/>
  <c r="J15" i="7"/>
  <c r="I49" i="7"/>
  <c r="Q49" i="5"/>
  <c r="R39" i="7"/>
  <c r="U39" i="7"/>
  <c r="U39" i="6"/>
  <c r="K29" i="11"/>
  <c r="S29" i="10"/>
  <c r="T46" i="6"/>
  <c r="L31" i="12"/>
  <c r="M31" i="11"/>
  <c r="K25" i="11"/>
  <c r="S25" i="10"/>
  <c r="J30" i="11"/>
  <c r="S30" i="9"/>
  <c r="R31" i="5"/>
  <c r="U30" i="5"/>
  <c r="K34" i="11"/>
  <c r="S34" i="10"/>
  <c r="R30" i="10"/>
  <c r="R22" i="10"/>
  <c r="G16" i="10"/>
  <c r="R31" i="9"/>
  <c r="R19" i="9"/>
  <c r="K19" i="12"/>
  <c r="R30" i="7"/>
  <c r="U30" i="7"/>
  <c r="K49" i="7"/>
  <c r="R45" i="5"/>
  <c r="U43" i="5"/>
  <c r="R32" i="5"/>
  <c r="P49" i="5"/>
  <c r="R16" i="5"/>
  <c r="P18" i="14"/>
  <c r="P17" i="14"/>
  <c r="T45" i="6"/>
  <c r="U43" i="6"/>
  <c r="T40" i="6"/>
  <c r="U40" i="6"/>
  <c r="T38" i="6"/>
  <c r="U35" i="6"/>
  <c r="T36" i="6"/>
  <c r="T21" i="6"/>
  <c r="U19" i="6"/>
  <c r="T35" i="4"/>
  <c r="U35" i="4"/>
  <c r="T30" i="4"/>
  <c r="T28" i="4"/>
  <c r="T26" i="4"/>
  <c r="U22" i="4"/>
  <c r="R20" i="4"/>
  <c r="R19" i="16"/>
  <c r="R10" i="16"/>
  <c r="S27" i="10"/>
  <c r="R24" i="10"/>
  <c r="S19" i="10"/>
  <c r="S15" i="10"/>
  <c r="S28" i="9"/>
  <c r="R25" i="9"/>
  <c r="S16" i="9"/>
  <c r="K23" i="12"/>
  <c r="R31" i="7"/>
  <c r="H49" i="5"/>
  <c r="R18" i="5"/>
  <c r="U17" i="5"/>
  <c r="O49" i="5"/>
  <c r="O50" i="5"/>
  <c r="G33" i="14"/>
  <c r="N14" i="15"/>
  <c r="R16" i="6"/>
  <c r="T16" i="6"/>
  <c r="U22" i="5"/>
  <c r="Q21" i="16"/>
  <c r="U20" i="16"/>
  <c r="R26" i="10"/>
  <c r="L19" i="12"/>
  <c r="M19" i="11"/>
  <c r="R18" i="10"/>
  <c r="I16" i="10"/>
  <c r="L15" i="11"/>
  <c r="K15" i="12"/>
  <c r="R35" i="9"/>
  <c r="J28" i="12"/>
  <c r="R27" i="9"/>
  <c r="Q23" i="9"/>
  <c r="R23" i="9"/>
  <c r="R15" i="9"/>
  <c r="K31" i="12"/>
  <c r="K27" i="12"/>
  <c r="R15" i="7"/>
  <c r="H50" i="5"/>
  <c r="P20" i="5"/>
  <c r="I49" i="5"/>
  <c r="K49" i="5"/>
  <c r="J24" i="11"/>
  <c r="T22" i="6"/>
  <c r="T20" i="6"/>
  <c r="U19" i="7"/>
  <c r="J16" i="7"/>
  <c r="J16" i="10"/>
  <c r="F16" i="7"/>
  <c r="F16" i="10"/>
  <c r="Q49" i="4"/>
  <c r="Q50" i="4"/>
  <c r="T44" i="4"/>
  <c r="U43" i="4"/>
  <c r="L33" i="11"/>
  <c r="J33" i="12"/>
  <c r="T31" i="4"/>
  <c r="R24" i="16"/>
  <c r="U18" i="16"/>
  <c r="S31" i="10"/>
  <c r="R28" i="10"/>
  <c r="S23" i="10"/>
  <c r="R20" i="10"/>
  <c r="R29" i="9"/>
  <c r="R21" i="9"/>
  <c r="Q20" i="9"/>
  <c r="K20" i="9"/>
  <c r="R20" i="9"/>
  <c r="R17" i="9"/>
  <c r="Q25" i="5"/>
  <c r="L20" i="5"/>
  <c r="L49" i="5"/>
  <c r="M50" i="5"/>
  <c r="U15" i="5"/>
  <c r="N49" i="5"/>
  <c r="N50" i="5"/>
  <c r="J49" i="5"/>
  <c r="K50" i="5"/>
  <c r="F49" i="5"/>
  <c r="P33" i="14"/>
  <c r="C33" i="15"/>
  <c r="C34" i="15"/>
  <c r="C35" i="15"/>
  <c r="C62" i="15"/>
  <c r="J20" i="11"/>
  <c r="S20" i="9"/>
  <c r="J23" i="11"/>
  <c r="S23" i="9"/>
  <c r="J17" i="11"/>
  <c r="S17" i="9"/>
  <c r="R22" i="7"/>
  <c r="U22" i="7"/>
  <c r="U22" i="6"/>
  <c r="J15" i="11"/>
  <c r="S15" i="9"/>
  <c r="J19" i="11"/>
  <c r="S19" i="9"/>
  <c r="M33" i="11"/>
  <c r="L33" i="12"/>
  <c r="R16" i="10"/>
  <c r="K24" i="12"/>
  <c r="J24" i="12"/>
  <c r="U27" i="11"/>
  <c r="V27" i="11"/>
  <c r="J50" i="5"/>
  <c r="J27" i="11"/>
  <c r="S27" i="9"/>
  <c r="K18" i="11"/>
  <c r="S18" i="10"/>
  <c r="S49" i="6"/>
  <c r="I50" i="5"/>
  <c r="J25" i="11"/>
  <c r="S25" i="9"/>
  <c r="K24" i="11"/>
  <c r="S24" i="10"/>
  <c r="P50" i="5"/>
  <c r="J31" i="11"/>
  <c r="J31" i="12"/>
  <c r="S31" i="9"/>
  <c r="U15" i="6"/>
  <c r="K29" i="12"/>
  <c r="J50" i="7"/>
  <c r="K17" i="12"/>
  <c r="L17" i="11"/>
  <c r="J21" i="11"/>
  <c r="S21" i="9"/>
  <c r="K28" i="11"/>
  <c r="S28" i="10"/>
  <c r="F49" i="7"/>
  <c r="R16" i="7"/>
  <c r="R21" i="16"/>
  <c r="U21" i="16"/>
  <c r="V21" i="16"/>
  <c r="T20" i="4"/>
  <c r="R49" i="4"/>
  <c r="R50" i="4"/>
  <c r="R20" i="5"/>
  <c r="U30" i="4"/>
  <c r="R49" i="6"/>
  <c r="R50" i="6"/>
  <c r="K34" i="12"/>
  <c r="K25" i="12"/>
  <c r="R46" i="7"/>
  <c r="U46" i="7"/>
  <c r="U46" i="6"/>
  <c r="J49" i="7"/>
  <c r="K50" i="7"/>
  <c r="K35" i="12"/>
  <c r="L18" i="11"/>
  <c r="J18" i="12"/>
  <c r="L26" i="11"/>
  <c r="J26" i="12"/>
  <c r="L32" i="11"/>
  <c r="K32" i="12"/>
  <c r="J29" i="11"/>
  <c r="S29" i="9"/>
  <c r="M15" i="11"/>
  <c r="L15" i="12"/>
  <c r="M19" i="12"/>
  <c r="K22" i="11"/>
  <c r="S22" i="10"/>
  <c r="L34" i="11"/>
  <c r="J34" i="12"/>
  <c r="F50" i="5"/>
  <c r="G50" i="5"/>
  <c r="K20" i="11"/>
  <c r="K20" i="12"/>
  <c r="S20" i="10"/>
  <c r="L50" i="5"/>
  <c r="U15" i="7"/>
  <c r="R49" i="7"/>
  <c r="R50" i="7"/>
  <c r="T50" i="7"/>
  <c r="J35" i="11"/>
  <c r="S35" i="9"/>
  <c r="K26" i="11"/>
  <c r="S26" i="10"/>
  <c r="K30" i="11"/>
  <c r="S30" i="10"/>
  <c r="L30" i="11"/>
  <c r="J30" i="12"/>
  <c r="M31" i="12"/>
  <c r="O31" i="12"/>
  <c r="Q50" i="5"/>
  <c r="K33" i="12"/>
  <c r="U17" i="7"/>
  <c r="J22" i="12"/>
  <c r="L22" i="11"/>
  <c r="K21" i="12"/>
  <c r="L26" i="12"/>
  <c r="M26" i="12"/>
  <c r="M26" i="11"/>
  <c r="R49" i="5"/>
  <c r="R50" i="5"/>
  <c r="T50" i="5"/>
  <c r="U19" i="5"/>
  <c r="S50" i="6"/>
  <c r="R24" i="12"/>
  <c r="K16" i="11"/>
  <c r="S16" i="10"/>
  <c r="J19" i="12"/>
  <c r="J23" i="12"/>
  <c r="L23" i="11"/>
  <c r="K26" i="12"/>
  <c r="T49" i="7"/>
  <c r="M15" i="12"/>
  <c r="L32" i="12"/>
  <c r="M32" i="11"/>
  <c r="S49" i="4"/>
  <c r="U19" i="4"/>
  <c r="S50" i="4"/>
  <c r="L28" i="11"/>
  <c r="K28" i="12"/>
  <c r="M17" i="11"/>
  <c r="L17" i="12"/>
  <c r="S27" i="11"/>
  <c r="O33" i="12"/>
  <c r="M33" i="12"/>
  <c r="L35" i="11"/>
  <c r="J35" i="12"/>
  <c r="G50" i="7"/>
  <c r="F50" i="7"/>
  <c r="L21" i="11"/>
  <c r="J21" i="12"/>
  <c r="L22" i="12"/>
  <c r="M22" i="11"/>
  <c r="M30" i="11"/>
  <c r="L30" i="12"/>
  <c r="M30" i="12"/>
  <c r="M34" i="11"/>
  <c r="L34" i="12"/>
  <c r="M34" i="12"/>
  <c r="J29" i="12"/>
  <c r="L29" i="11"/>
  <c r="L27" i="11"/>
  <c r="J27" i="12"/>
  <c r="K30" i="12"/>
  <c r="K22" i="12"/>
  <c r="L18" i="12"/>
  <c r="M18" i="12"/>
  <c r="M18" i="11"/>
  <c r="L25" i="11"/>
  <c r="J25" i="12"/>
  <c r="K18" i="12"/>
  <c r="L24" i="11"/>
  <c r="J15" i="12"/>
  <c r="J17" i="12"/>
  <c r="L20" i="11"/>
  <c r="J20" i="12"/>
  <c r="L20" i="12"/>
  <c r="M20" i="11"/>
  <c r="O22" i="12"/>
  <c r="M22" i="12"/>
  <c r="L35" i="12"/>
  <c r="M35" i="11"/>
  <c r="M17" i="12"/>
  <c r="O17" i="12"/>
  <c r="M24" i="11"/>
  <c r="L24" i="12"/>
  <c r="M24" i="12"/>
  <c r="M28" i="11"/>
  <c r="L28" i="12"/>
  <c r="O32" i="12"/>
  <c r="M32" i="12"/>
  <c r="M25" i="11"/>
  <c r="L25" i="12"/>
  <c r="M25" i="12"/>
  <c r="M29" i="11"/>
  <c r="L29" i="12"/>
  <c r="M29" i="12"/>
  <c r="M21" i="11"/>
  <c r="L21" i="12"/>
  <c r="M21" i="12"/>
  <c r="M23" i="11"/>
  <c r="L23" i="12"/>
  <c r="M23" i="12"/>
  <c r="T49" i="5"/>
  <c r="M27" i="11"/>
  <c r="L27" i="12"/>
  <c r="M27" i="12"/>
  <c r="L16" i="11"/>
  <c r="K16" i="12"/>
  <c r="O28" i="12"/>
  <c r="M28" i="12"/>
  <c r="M35" i="12"/>
  <c r="O35" i="12"/>
  <c r="M16" i="11"/>
  <c r="L16" i="12"/>
  <c r="M20" i="12"/>
  <c r="O19" i="12"/>
  <c r="M16" i="12"/>
  <c r="O15" i="12"/>
  <c r="F35" i="3"/>
  <c r="C35" i="3"/>
  <c r="P28" i="3"/>
  <c r="P25" i="3"/>
  <c r="P21" i="3"/>
  <c r="I29" i="3"/>
  <c r="I35" i="3" s="1"/>
  <c r="P23" i="3"/>
  <c r="E35" i="3"/>
  <c r="O20" i="19"/>
  <c r="O22" i="19"/>
  <c r="G30" i="18"/>
  <c r="G31" i="18"/>
  <c r="E31" i="18"/>
  <c r="I30" i="18"/>
  <c r="I31" i="18"/>
  <c r="B30" i="18"/>
  <c r="L30" i="18"/>
  <c r="L31" i="18"/>
  <c r="Q30" i="19"/>
  <c r="T30" i="19"/>
  <c r="Q29" i="19"/>
  <c r="T29" i="19"/>
  <c r="Q25" i="19"/>
  <c r="T25" i="19"/>
  <c r="Q34" i="19"/>
  <c r="Q32" i="19"/>
  <c r="T32" i="19"/>
  <c r="K41" i="19"/>
  <c r="K42" i="19"/>
  <c r="M41" i="19"/>
  <c r="Q40" i="19"/>
  <c r="T40" i="19"/>
  <c r="Q28" i="19"/>
  <c r="T28" i="19"/>
  <c r="G41" i="19"/>
  <c r="G42" i="19"/>
  <c r="I41" i="19"/>
  <c r="I42" i="19"/>
  <c r="Q39" i="19"/>
  <c r="T39" i="19"/>
  <c r="Q36" i="19"/>
  <c r="T36" i="19"/>
  <c r="Q31" i="19"/>
  <c r="T31" i="19"/>
  <c r="Q33" i="19"/>
  <c r="T33" i="19"/>
  <c r="Q38" i="19"/>
  <c r="T38" i="19"/>
  <c r="Q35" i="19"/>
  <c r="T35" i="19"/>
  <c r="Q37" i="19"/>
  <c r="T37" i="19"/>
  <c r="P26" i="19"/>
  <c r="O27" i="19"/>
  <c r="Q27" i="19"/>
  <c r="T27" i="19"/>
  <c r="Q22" i="19"/>
  <c r="T22" i="19"/>
  <c r="Q21" i="19"/>
  <c r="T21" i="19"/>
  <c r="Q26" i="19"/>
  <c r="T26" i="19"/>
  <c r="Q20" i="19"/>
  <c r="T20" i="19"/>
  <c r="M42" i="19"/>
  <c r="O41" i="19"/>
  <c r="O42" i="19"/>
  <c r="Q41" i="19"/>
  <c r="J35" i="3" l="1"/>
  <c r="O33" i="3"/>
  <c r="M29" i="3"/>
  <c r="M35" i="3" s="1"/>
  <c r="P22" i="3"/>
  <c r="P33" i="3"/>
  <c r="L29" i="3"/>
  <c r="L35" i="3" s="1"/>
  <c r="P24" i="3"/>
  <c r="O34" i="3"/>
  <c r="K29" i="3"/>
  <c r="K35" i="3" s="1"/>
  <c r="P35" i="3" s="1"/>
  <c r="O29" i="3" l="1"/>
  <c r="O35" i="3"/>
  <c r="P29" i="3"/>
</calcChain>
</file>

<file path=xl/comments1.xml><?xml version="1.0" encoding="utf-8"?>
<comments xmlns="http://schemas.openxmlformats.org/spreadsheetml/2006/main">
  <authors>
    <author/>
  </authors>
  <commentList>
    <comment ref="P47" authorId="0" shapeId="0">
      <text>
        <r>
          <rPr>
            <sz val="10"/>
            <color indexed="8"/>
            <rFont val="Arial1"/>
          </rPr>
          <t>Chequear con una “X” o indicar el número si son más de 1</t>
        </r>
      </text>
    </comment>
  </commentList>
</comments>
</file>

<file path=xl/sharedStrings.xml><?xml version="1.0" encoding="utf-8"?>
<sst xmlns="http://schemas.openxmlformats.org/spreadsheetml/2006/main" count="1445" uniqueCount="455">
  <si>
    <t>CONTROL, EVALUACIÓN Y SEGUIMIENTO</t>
  </si>
  <si>
    <t>SEGUIMIENTO MODIFICACIONES AL PLAN DE ACCIÓN</t>
  </si>
  <si>
    <t>DEFINICIÓN DEL INDICADOR</t>
  </si>
  <si>
    <t>Nombre del Indicador</t>
  </si>
  <si>
    <t>Efectividad en la planeación de los proyectos de inversión</t>
  </si>
  <si>
    <t>Tipo de indicador</t>
  </si>
  <si>
    <t>EFECTIVIDAD</t>
  </si>
  <si>
    <t>Proyecto Asociado</t>
  </si>
  <si>
    <t>999. Aplica a todos los proyectos de inversión</t>
  </si>
  <si>
    <t>Proceso Asociado</t>
  </si>
  <si>
    <t>Direccionamiento Estratégico</t>
  </si>
  <si>
    <t>Objetivo del indicador</t>
  </si>
  <si>
    <t>Hacer seguimiento a la efectividad de la planeación de cada área en cada vigencia, haciendo seguimiento al número de modificaciones tanto en actividades como en recursos asignados.</t>
  </si>
  <si>
    <t>VIGENCIA</t>
  </si>
  <si>
    <t>MODIFICACIONES PLAN DE ACCIÓN</t>
  </si>
  <si>
    <t>Mes</t>
  </si>
  <si>
    <t>Día</t>
  </si>
  <si>
    <t># solicitud /contrato / convenio</t>
  </si>
  <si>
    <t>Solicitante / Entidad(es) Participante(s)</t>
  </si>
  <si>
    <t>Proyecto Acreditado</t>
  </si>
  <si>
    <t>Valor inicial presupuesto</t>
  </si>
  <si>
    <t>Valor modificación</t>
  </si>
  <si>
    <t>Valor final</t>
  </si>
  <si>
    <t>Proyecto Contra Acreditado</t>
  </si>
  <si>
    <t>Justificación Técnica</t>
  </si>
  <si>
    <t>Responsable del seguimiento a Modificaciones</t>
  </si>
  <si>
    <t>Nombre</t>
  </si>
  <si>
    <t>Cargo</t>
  </si>
  <si>
    <t>Código: 2EM-CES-F-04</t>
  </si>
  <si>
    <t>Fecha: 18/06/2015</t>
  </si>
  <si>
    <t>HOJA DE VIDA DEL INDICADOR</t>
  </si>
  <si>
    <t>Versión: 1</t>
  </si>
  <si>
    <t>Unidad de medida</t>
  </si>
  <si>
    <t>POR CIENTO</t>
  </si>
  <si>
    <t>Fórmula para su Cálculo</t>
  </si>
  <si>
    <t>Efectividad en Planes de Acción : Número total acumulado de las modificaciones en los Planes de Acción diferentes a los convenios interadministrativos</t>
  </si>
  <si>
    <t>Periodicidad / Fechas de medición</t>
  </si>
  <si>
    <t>TRIMESTRAL</t>
  </si>
  <si>
    <t>Fuente de los datos</t>
  </si>
  <si>
    <t>* Planes de Acción
* Respuesta y trámite a solicitudes de Modificación</t>
  </si>
  <si>
    <t>Meta</t>
  </si>
  <si>
    <t>Generar la línea base de control de modificaciones y consecuentemente reducir el porcentaje de aquellas por conceptos diferentes a los convenios interadministrativos.</t>
  </si>
  <si>
    <t>Variables del Producto</t>
  </si>
  <si>
    <t>* Número de modificaciones en cada proyecto de inversión
* Número total de modificaciones
* Número Total de modificaciones por concepto de convenios interadministrativos
* meta de convenios interadministrativos
* Total de Modificaciones por conceptos diferentes a los convenios interadministrativos</t>
  </si>
  <si>
    <t>Producto del Indicador</t>
  </si>
  <si>
    <t>Plan de Acción con seguimiento a las modificaciones</t>
  </si>
  <si>
    <t>Responsable del indicador (Nombre y cargo)</t>
  </si>
  <si>
    <t>Luis Fernando Mejía</t>
  </si>
  <si>
    <t>Diligenció  (Nombre y Cargo)</t>
  </si>
  <si>
    <t>José Alexander Alarcón Q.</t>
  </si>
  <si>
    <t>Jefe OAP</t>
  </si>
  <si>
    <t>Profesional Especializado</t>
  </si>
  <si>
    <t>SEGUIMIENTO AL INDICADOR</t>
  </si>
  <si>
    <t>AÑO</t>
  </si>
  <si>
    <t>Variable</t>
  </si>
  <si>
    <t>Ene.</t>
  </si>
  <si>
    <t>Feb.</t>
  </si>
  <si>
    <t>Mar.</t>
  </si>
  <si>
    <t>Abr.</t>
  </si>
  <si>
    <t>May.</t>
  </si>
  <si>
    <t>Jun.</t>
  </si>
  <si>
    <t>Jul.</t>
  </si>
  <si>
    <t>Ago.</t>
  </si>
  <si>
    <t>Sept.</t>
  </si>
  <si>
    <t>Oct.</t>
  </si>
  <si>
    <t>Nov.</t>
  </si>
  <si>
    <t>Dic.</t>
  </si>
  <si>
    <t>PROMEDIO</t>
  </si>
  <si>
    <t>TOTAL</t>
  </si>
  <si>
    <t>Total Modificaciones</t>
  </si>
  <si>
    <t>Mod Proyectos x Convenios  interadmin.</t>
  </si>
  <si>
    <t>Total Modific por Convenios Interadmin.</t>
  </si>
  <si>
    <t>Modific Presupuestales</t>
  </si>
  <si>
    <t>Total Modific Presupuestales</t>
  </si>
  <si>
    <t>Modificaciones Justificadas</t>
  </si>
  <si>
    <t>Total Modific por Otros conceptos</t>
  </si>
  <si>
    <t>ANÁLISIS DE DATOS</t>
  </si>
  <si>
    <t>ACCIÓN DE MEJORAMIENTO</t>
  </si>
  <si>
    <t>Acción Correctiva</t>
  </si>
  <si>
    <t>Acción Preventiva</t>
  </si>
  <si>
    <t>Oportunidad de Mejora</t>
  </si>
  <si>
    <t>X</t>
  </si>
  <si>
    <t>No requiere acción</t>
  </si>
  <si>
    <t>No. De la Acción</t>
  </si>
  <si>
    <t>Responsable del seguimiento y análisis del indicador</t>
  </si>
  <si>
    <t>Fecha de Corte</t>
  </si>
  <si>
    <t>Fecha Diligenciamiento</t>
  </si>
  <si>
    <t>Código Indicador</t>
  </si>
  <si>
    <t>1ES-DEI-IND-01</t>
  </si>
  <si>
    <t>Avance de las metas de los proyectos de inversión en cada vigencia.</t>
  </si>
  <si>
    <t>EFICACIA</t>
  </si>
  <si>
    <t>hacer seguimiento al avance de las metas establecidas en plan plurianual, particularmente de la vigencia</t>
  </si>
  <si>
    <t>SEGUIMIENTO A LAS METAS DE PROYECTOS DE INVERSIÓN</t>
  </si>
  <si>
    <t>PROY</t>
  </si>
  <si>
    <t>ACCIÓN</t>
  </si>
  <si>
    <t>META VIGENCIA</t>
  </si>
  <si>
    <t>UNIDAD</t>
  </si>
  <si>
    <t>AVANCE VIGENCIA</t>
  </si>
  <si>
    <t>% ACUM VIGENCIA</t>
  </si>
  <si>
    <t>AVANCE PROM</t>
  </si>
  <si>
    <t>Atender</t>
  </si>
  <si>
    <t>niños y niñas</t>
  </si>
  <si>
    <t>Fortalecer y ampliar</t>
  </si>
  <si>
    <t>Espacios</t>
  </si>
  <si>
    <t>Formar en artes</t>
  </si>
  <si>
    <t>niños y adolescentes</t>
  </si>
  <si>
    <t>Vincular</t>
  </si>
  <si>
    <t>organizaciones artísticas</t>
  </si>
  <si>
    <t>Crear</t>
  </si>
  <si>
    <t>espacios</t>
  </si>
  <si>
    <t>Apoyar</t>
  </si>
  <si>
    <t>reconocimientos</t>
  </si>
  <si>
    <t>encuentros</t>
  </si>
  <si>
    <t>Alcanzar</t>
  </si>
  <si>
    <t>asistencias</t>
  </si>
  <si>
    <t>Que accedan a la oferta artística a través de medios masivos e internet</t>
  </si>
  <si>
    <t>personas</t>
  </si>
  <si>
    <t>Realizar</t>
  </si>
  <si>
    <t>actividades</t>
  </si>
  <si>
    <t>iniciativas</t>
  </si>
  <si>
    <t>Aumentar Programa de Salas
Concertadas y Los Festivales Artísticos, Teatrales y Culturales</t>
  </si>
  <si>
    <t>Por ciento</t>
  </si>
  <si>
    <t>Lograr acceso a actividades de fomento a la lectura y escritura</t>
  </si>
  <si>
    <t>Beneficiar</t>
  </si>
  <si>
    <t>iniciativas y espacios juveniles</t>
  </si>
  <si>
    <t>Apoyar la consolidación</t>
  </si>
  <si>
    <t>redes musicales</t>
  </si>
  <si>
    <t>Lograr que cuenten con programación</t>
  </si>
  <si>
    <t xml:space="preserve"> teatros del Centro Cultural Julio Mario Santo Domingo</t>
  </si>
  <si>
    <t>Apoyar con programación</t>
  </si>
  <si>
    <t>red de equipamientos</t>
  </si>
  <si>
    <t>Lograr la asistencia a las actividades del Planetario Distrital</t>
  </si>
  <si>
    <t>Lograr la participación</t>
  </si>
  <si>
    <t>actividades artísticas</t>
  </si>
  <si>
    <t>Adecuar, mantener y sostener</t>
  </si>
  <si>
    <t>escenarios culturales</t>
  </si>
  <si>
    <t>sedes</t>
  </si>
  <si>
    <t>Adecuar y dotar</t>
  </si>
  <si>
    <t>sede de la Galería Santa fe</t>
  </si>
  <si>
    <t>diseños e iniciar su construcción</t>
  </si>
  <si>
    <t>Nueva Cinemateca de Bogotá</t>
  </si>
  <si>
    <t>Llevar a cabo</t>
  </si>
  <si>
    <t>intervenciones locales</t>
  </si>
  <si>
    <t>Desarrollar</t>
  </si>
  <si>
    <t>procesos participativos</t>
  </si>
  <si>
    <t>participación en actividades de consulta, concertación, decisión y control social</t>
  </si>
  <si>
    <t>META  CUMPLIDA</t>
  </si>
  <si>
    <t>Diseñar e implementar</t>
  </si>
  <si>
    <t>herramienta de transparencia y probidad</t>
  </si>
  <si>
    <t>Poner en produccion e integrar</t>
  </si>
  <si>
    <t>aplicativos</t>
  </si>
  <si>
    <t>Alcanzar y mantener</t>
  </si>
  <si>
    <t>puntos de atencion al ciudadano</t>
  </si>
  <si>
    <t>Implementar</t>
  </si>
  <si>
    <t>Sistema de Gestión de Calidad</t>
  </si>
  <si>
    <t>seguidores en redes sociales</t>
  </si>
  <si>
    <t>impactos en medios masivos de comunicaciones</t>
  </si>
  <si>
    <t>Construir y mantener</t>
  </si>
  <si>
    <t>herramienta interna de comunicación organizacional</t>
  </si>
  <si>
    <t>AVANCE PROMEDIO</t>
  </si>
  <si>
    <t>AVANCE PONDERADO ACUMULADO</t>
  </si>
  <si>
    <t>Responsable del seguimiento a los Proyectos de Inversión</t>
  </si>
  <si>
    <t>PONDERACIÓN</t>
  </si>
  <si>
    <t>% AVANCE POND PROY</t>
  </si>
  <si>
    <t>Apoyar la consolidacion</t>
  </si>
  <si>
    <t>Lograr la participacion</t>
  </si>
  <si>
    <t>AVANCE PONDERADO</t>
  </si>
  <si>
    <t>Meta cumplida</t>
  </si>
  <si>
    <t>hacer seguimiento al avance de las metas de los proyectos de inversión establecidas en plan plurianual, particularmente de la vigencia</t>
  </si>
  <si>
    <t xml:space="preserve">* Avance Vigencia: Avance Meta de cada proyecto en la vigencia / Meta de cada proyecto en la vigencia
* Avance Ejecución : Avance ejecución de recursos en cada meta / Recursos asignados a cada meta de la vigencia
</t>
  </si>
  <si>
    <t>Plan Plurianual, Informes de Gestión de las Áreas</t>
  </si>
  <si>
    <t>100 % de cumplimiento en las metas anuales de los Proyectos de Inversión</t>
  </si>
  <si>
    <t xml:space="preserve">Avance Meta de cada proyecto de inversión en la vigencia
Meta de cada proyecto en la vigencia
</t>
  </si>
  <si>
    <t>Porcentaje de Avance de las metas anuales de los proyectos de inversión</t>
  </si>
  <si>
    <t>PROYECTO</t>
  </si>
  <si>
    <t>ACUMULADO</t>
  </si>
  <si>
    <t>FINAL</t>
  </si>
  <si>
    <t>GRÁFICAS</t>
  </si>
  <si>
    <t>1ES-DEI-IND-02</t>
  </si>
  <si>
    <t>Avance nominal de las metas del Plan de Desarrollo del Distrito -porcentaje ponderado- en cada vigencia.</t>
  </si>
  <si>
    <t>META</t>
  </si>
  <si>
    <t>AVANCE</t>
  </si>
  <si>
    <t>% ACUM</t>
  </si>
  <si>
    <t>Aumentar anualmente de las Salas Concertadas</t>
  </si>
  <si>
    <t>presupuesto</t>
  </si>
  <si>
    <t>TIPO</t>
  </si>
  <si>
    <t>INCREMENTAL</t>
  </si>
  <si>
    <t>ACUMULATIVA</t>
  </si>
  <si>
    <t>CONSTANTE</t>
  </si>
  <si>
    <t>Avance porcentual de las metas del Plan de Desarrollo del Distrito -porcentaje ponderado- en cada vigencia.</t>
  </si>
  <si>
    <t>PESO PROYECTO</t>
  </si>
  <si>
    <t>AVANCE POND PROYECTO</t>
  </si>
  <si>
    <t>hacer seguimiento al avance de las metas establecidas en plan de desarrollo</t>
  </si>
  <si>
    <t>* Avance Vigencia: Avance de las metas de cada proyecto prioritario en la vigencia /  Meta final del plan de desarrollo asignada al IDARTES</t>
  </si>
  <si>
    <t>Informes mensuales de cada área</t>
  </si>
  <si>
    <t>100 % de cumplimiento en las metas del PDD</t>
  </si>
  <si>
    <t>Porcentaje de Avance de las metas del Plan de Desarrollo</t>
  </si>
  <si>
    <t>Funcionario responsable</t>
  </si>
  <si>
    <t>META IDARTES</t>
  </si>
  <si>
    <t>TIPO DE META</t>
  </si>
  <si>
    <t xml:space="preserve"> ACUMULADO FINAL</t>
  </si>
  <si>
    <t>Involucrar al 100% de niños y niñas menores de 5 años que se encuentran en jardines infantiles, Hogares Comunitario y Fami del ICBF (actualmente atendidos), ámbito familiar y colegios públicos de la ciudad, en el disfrute, apreciación y creación artística, cultural y actividad física en el territorio</t>
  </si>
  <si>
    <t>Incremental</t>
  </si>
  <si>
    <t>Fortalecer y ampliar espacios de exploración y creación artística y actividad física en las 20 localidades para niños y niñas de primera infancia en espacios no convencionales como parques, bibliotecas, casas de cultura, ludotecas y centros de desarrollo comunitario entre otros</t>
  </si>
  <si>
    <t>Acumulativa</t>
  </si>
  <si>
    <t>Garantizar que 250.000 niños/as y adolescentes se beneficien con una jornada escolar de 40 horas semanales</t>
  </si>
  <si>
    <t>400 organizaciones y colectivos artísticos, recreativos y deportivos vinculados a la jornada única</t>
  </si>
  <si>
    <t>Fortalecer 20 espacios lúdicos, sociales, deportivos o culturales para la ocupación productiva del tiempo libre de las personas mayores en articulación intersectorial con el IDRD y con IDARTES</t>
  </si>
  <si>
    <t>Apoyar 600 acciones de reconocimiento de las expresiones culturales diversas mediante estímulos, apoyos y alianzas con organizaciones de grupos poblacionales y sectores sociales y etarios</t>
  </si>
  <si>
    <t>Realizar 5 acciones de encuentro intercultural entre las poblaciones diversas de la ciudad</t>
  </si>
  <si>
    <t>Construir y dotar 3 equipamientos culturales en áreas deficitarias y territorios prioritarios en las localidades de ciudad Bolívar, La Candelaria y Usme</t>
  </si>
  <si>
    <t>Una red de equipamientos culturales accesibles, polivalentes (atienden distintas disciplinas artísticas), sostenibles (con modelo de gestión), construidos y dotados en territorios con déficit</t>
  </si>
  <si>
    <t>Lograr 5.000.000 asistencias a la oferta pública de personas en condiciones de equidad, inclusión y no segregación</t>
  </si>
  <si>
    <t>Constante</t>
  </si>
  <si>
    <t>4.500 iniciativas apoyadas mediante estímulos, becas, apoyos concertados y alianzas estratégicas con enfoque poblacional y territorial</t>
  </si>
  <si>
    <t>Beneficiar 300 iniciativas y espacios juveniles, priorizando jóvenes en condición de vulnerabilidad</t>
  </si>
  <si>
    <t>Organizar y fortalecer la oferta y apropiación musical en la ciudad a través de 10 redes musicales en la ciudad</t>
  </si>
  <si>
    <t>Implementar el Plan de lectura, Escritura y Cultura Digital y lograr la participación de 600.000 personas en oportunidades que favorezcan el acceso a actividades de fomento a la lectura y escritura en condiciones de equidad, inclusión y no segregación</t>
  </si>
  <si>
    <t>Gestionar 6 intervenciones urbanas de iniciativa pública</t>
  </si>
  <si>
    <t>Desarrollar 6 procesos participativos para la planeación transversal de políticas públicas para superar la segregación</t>
  </si>
  <si>
    <t>Implementar en el 100% de las entidades del distrito el Sistema Integrado de Gestión</t>
  </si>
  <si>
    <t>AVANCE PONDERADO ACUMULADO POR TIEMPO</t>
  </si>
  <si>
    <t>1ES-DEI-IND-03</t>
  </si>
  <si>
    <t>Racionalización de recursos no renovables, medido en términos de gastos (en $ pesos)</t>
  </si>
  <si>
    <t>hacer seguimiento a la apropiación de implementación del PIGA en sus funcionarios, siguiendo la incorporación de hábitos de manejo racional de recursos no renovables de los funcionarios.</t>
  </si>
  <si>
    <t>UNIDAD MEDIDA</t>
  </si>
  <si>
    <t>% Promedio</t>
  </si>
  <si>
    <t>CONSUMO DE PAPEL ENTIDAD</t>
  </si>
  <si>
    <t>NÚMERO DE DEPENDENCIAS</t>
  </si>
  <si>
    <t>CONSUMO  / DEPENDENCIA</t>
  </si>
  <si>
    <t>CONSUMO DE AGUA ENTIDAD</t>
  </si>
  <si>
    <t>CONSUMO  / CASA FERNANDEZ</t>
  </si>
  <si>
    <t>CONSUMO  / CASAS GEMELAS</t>
  </si>
  <si>
    <t>CONSUMO  / CALLE 12</t>
  </si>
  <si>
    <t>CONSUMO  / TJEG</t>
  </si>
  <si>
    <t>CONSUMO  / CASONA DE LA DANZA</t>
  </si>
  <si>
    <t>CONSUMO  / MEDIA TORTA</t>
  </si>
  <si>
    <t>CONSUMO  / PLANETARIO</t>
  </si>
  <si>
    <t>CONSUMO  / TEATRO EL PARQUE</t>
  </si>
  <si>
    <t>CONSUMO  / EDIFICIO PEDAGÓGICO</t>
  </si>
  <si>
    <t>CONSUMO  / TMJMSD</t>
  </si>
  <si>
    <t>CONSUMO  / CINEMATECA</t>
  </si>
  <si>
    <t>CONSUMO  / BODEGA</t>
  </si>
  <si>
    <t>CONSUMO LUZ ENTIDAD</t>
  </si>
  <si>
    <t>SEDE / ESCENARIO</t>
  </si>
  <si>
    <t>ENERGIA</t>
  </si>
  <si>
    <t>AGUA</t>
  </si>
  <si>
    <t>Enero – Junio</t>
  </si>
  <si>
    <t>Julio – Diciembre</t>
  </si>
  <si>
    <t>Total</t>
  </si>
  <si>
    <t>Kw</t>
  </si>
  <si>
    <t>$</t>
  </si>
  <si>
    <t>m³</t>
  </si>
  <si>
    <t>CASA FERNANDEZ</t>
  </si>
  <si>
    <t>CASAS GEMELAS</t>
  </si>
  <si>
    <t>SEDE SUB. ADMINISTRATIVA – CALLE 12</t>
  </si>
  <si>
    <t>TEATRO AL AIRE LIBRE LA MEDIA TORTA</t>
  </si>
  <si>
    <t>CASONA DE LA DANZA</t>
  </si>
  <si>
    <t>TEATRO MUNICIPAL JORGE ELIECER GAITAN</t>
  </si>
  <si>
    <t>CINEMATECA DISTRITAL</t>
  </si>
  <si>
    <t>PLANETARIO DE BOGOTA</t>
  </si>
  <si>
    <t>BODEGA IDARTES (NUEVA)</t>
  </si>
  <si>
    <t>CONSUMO DE PAPEL (Resma 500 Hojas)</t>
  </si>
  <si>
    <t>Resma</t>
  </si>
  <si>
    <t>Costo</t>
  </si>
  <si>
    <t>Enero a Junio</t>
  </si>
  <si>
    <t>Julio a Diciembre</t>
  </si>
  <si>
    <t>Valor Resma 2015</t>
  </si>
  <si>
    <t>DEPENDENCIA</t>
  </si>
  <si>
    <t>DIRECCION GENERAL</t>
  </si>
  <si>
    <t>PLANEACION</t>
  </si>
  <si>
    <t>COMUNICACIONES</t>
  </si>
  <si>
    <t>JURIDICA</t>
  </si>
  <si>
    <t>SISTEMAS</t>
  </si>
  <si>
    <t>CORRESPONDENCIA</t>
  </si>
  <si>
    <t>ATENCION AL CIUDADANO</t>
  </si>
  <si>
    <t>CONTROL INTERNO</t>
  </si>
  <si>
    <t>CALLE 12</t>
  </si>
  <si>
    <t>SUB ADM Y FRA</t>
  </si>
  <si>
    <t>ALMACEN</t>
  </si>
  <si>
    <t>CONTABILIDAD</t>
  </si>
  <si>
    <t>PRESUPUESTO</t>
  </si>
  <si>
    <t>TESORERIA</t>
  </si>
  <si>
    <t>ARCHIVO</t>
  </si>
  <si>
    <t>TALENTO HUMANO</t>
  </si>
  <si>
    <t>GESTION DOCUMENTAL</t>
  </si>
  <si>
    <t>PRODUCCION</t>
  </si>
  <si>
    <t>CASA GEMELAS</t>
  </si>
  <si>
    <t>SUBDIRECCION
DE ARTES</t>
  </si>
  <si>
    <t>ARTES PLASTICAS</t>
  </si>
  <si>
    <t>CONVOCATORIAS</t>
  </si>
  <si>
    <t>ARTE DRAMATICO</t>
  </si>
  <si>
    <t>DANZA</t>
  </si>
  <si>
    <t>LITERATURA</t>
  </si>
  <si>
    <t>MUSICA</t>
  </si>
  <si>
    <t>TJEG</t>
  </si>
  <si>
    <t>SUB EQUIP</t>
  </si>
  <si>
    <t>PLANETARIO BOGOTA</t>
  </si>
  <si>
    <t>MEDIA TORTA</t>
  </si>
  <si>
    <t>TEATRO AL PARQUE</t>
  </si>
  <si>
    <t>TEATRO EL PARQUE</t>
  </si>
  <si>
    <t>EDIFICIO PEDAGOGICO</t>
  </si>
  <si>
    <t>JORNADA UNICA</t>
  </si>
  <si>
    <t>TEJEDORES DE VIDA</t>
  </si>
  <si>
    <t>BODEGA IDARTES</t>
  </si>
  <si>
    <t>BODEGA</t>
  </si>
  <si>
    <t>CINEMATECA</t>
  </si>
  <si>
    <t>Total Dependencias</t>
  </si>
  <si>
    <t>DIRECCIONAMIENTO ESTRATEGICO INSTITUCIONAL</t>
  </si>
  <si>
    <t>AVANCE METAS PROYECTOS DE INVERSIÓN PLAN DE DESARROLLO “BOGOTÁ HUMANA” 2012-2016</t>
  </si>
  <si>
    <t>Eje Estructurante</t>
  </si>
  <si>
    <t>Programa</t>
  </si>
  <si>
    <t>Proyecto Prioritario</t>
  </si>
  <si>
    <t>Meta Plan de desarrollo</t>
  </si>
  <si>
    <t>Magnitud Meta PD IDARTES</t>
  </si>
  <si>
    <t>Proyecto de Inversión IDARTES</t>
  </si>
  <si>
    <t>Meta proyectos IDARTES
BOGOTÁ HUMANA</t>
  </si>
  <si>
    <t>Tipología de meta</t>
  </si>
  <si>
    <t>Naturaleza de la meta</t>
  </si>
  <si>
    <t>Meta 2016</t>
  </si>
  <si>
    <t>Ejecución 2016</t>
  </si>
  <si>
    <t>Ejecución Acumulada Diciembre 2016</t>
  </si>
  <si>
    <t>1. Una ciudad que supera la segregación y la discriminación: el ser humano en el centro de las preocupaciones del desarrollo</t>
  </si>
  <si>
    <t>01. Garantía del desarrollo integral de la primera infancia</t>
  </si>
  <si>
    <t>103. Ambientes adecuados para el desarrollo de la primera infancia</t>
  </si>
  <si>
    <t>914.
Promoción de la apropiación artística en niños y niñas en primera infancia</t>
  </si>
  <si>
    <t>Atender a 92.000 niños y niñas en primera infancia que se encuentren en ámbito familiar y/o institucional, en actividades para el disfrute, apreciación y creación artística</t>
  </si>
  <si>
    <t>PLAN DE DESARROLLO</t>
  </si>
  <si>
    <t>Fortalecer y ampliar 65 espacios de exploración y creación artística en las localidades para niños y niñas de primera infancia en espacios no convencionales como parques, bibliotecas, casas de cultura, ludotecas y centros de desarrollo comunitario</t>
  </si>
  <si>
    <t>03. Construcción de saberes. Educación incluyente, diversa y de calidad para disfrutar y aprender</t>
  </si>
  <si>
    <t>115. Jornada educativa única para la excelencia académica y la formación integral</t>
  </si>
  <si>
    <t>915.
Promoción de la formación, apropiación y creación artística en niños, niñas y adolescentes en colegios de Bogotá.</t>
  </si>
  <si>
    <t>Realizar procesos de formación en artes para 65.216 niños, niñas y adolescentes de los colegios oficiales de Bogotá en jornada única</t>
  </si>
  <si>
    <t>Vincular 150 organizaciones y colectivos artísticos, culturales, deportivos y recreativos a la jornada única</t>
  </si>
  <si>
    <t>05. Lucha contra distintos tipos de discriminación y violencias por condición, situación, identidad, diferencia, diversidad o etapa del ciclo vital</t>
  </si>
  <si>
    <t>126. Las personas mayores, fuente de memoria y del saber</t>
  </si>
  <si>
    <t>772.
Reconocimiento de la diversidad y la interculturalidad a través de las artes</t>
  </si>
  <si>
    <t>Crear 6 espacios lúdicos, sociales o culturales para la ocupación productiva del tiempo libre de las personas mayores.</t>
  </si>
  <si>
    <t>128. Bogotá reconoce y apropia la diversidad y la interculturalidad</t>
  </si>
  <si>
    <t>Apoyar 100 acciones de reconocimiento de las expresiones culturales diversas mediante estímulos, apoyos y alianzas con organizaciones de grupos poblacionales y sectores sociales y etarios</t>
  </si>
  <si>
    <t>Apoyar al sector en la realización de 5 encuentros interculturales entre las poblaciones diversas de la ciudad</t>
  </si>
  <si>
    <t>08. Ejercicio de las libertades culturales y deportivas</t>
  </si>
  <si>
    <t>144. Arte, cultura y patrimonio en la transformación</t>
  </si>
  <si>
    <t>783.
Gestión, dotación, programación y aprovechamiento económico de los equipamientos culturales públicos</t>
  </si>
  <si>
    <t>Apoyar al sector en la consolidación del 49,9% de una red de equipamientos de la ciudad con programación permanente, próxima y diversa (10 equipamientos)</t>
  </si>
  <si>
    <t>792.
Adecuación, mantenimiento y amoblamiento de la infraestructura pública para las artes</t>
  </si>
  <si>
    <t>Adecuar y dotar una sede permanente de la Galería Santa Fe</t>
  </si>
  <si>
    <t>300000 personas asistan anualmente a las actividades de divulgación científica en el Planetario Distrital</t>
  </si>
  <si>
    <t>280000 personas participen  anualmente en actividades artísticas diversas, permanentes e incluyentes.</t>
  </si>
  <si>
    <t>795. Fortalecimiento de las prácticas artísticas en el Distrito Capital</t>
  </si>
  <si>
    <t>1140000 aistentes a la oferta pública de personas en condiciones de equidad, inclusión y no segregación</t>
  </si>
  <si>
    <t>Apoyar 2.486 iniciativas mediante estímulos, becas, apoyos concertados y alianzas estratégicas con enfoque poblacional y territorial  - Estímulos</t>
  </si>
  <si>
    <t>Aumentar 20 porciento anual durante el cuatrienio Para el Programa de Salas Concertadas y Los Festivales Artísticos, Teatrales y Culturales De Trayectoria Prioritariamente que hayan sido declarados Patrimonio Distrital O Nacional de Acuerdo Con La Ley 1170 De 2007.</t>
  </si>
  <si>
    <t>Aumentar 20 Porciento Anual Durante El Cuatrienio Para El Programa De SalasConcertadas Y Los Festivales Artísticos, Teatrales Y Culturales De TrayectoriaPrioritariamente Que Hayan Sido Declarados Patrimonio Distrital O Nacional DeAcuerdo Con La Ley 1170 De 2007.</t>
  </si>
  <si>
    <t>146. Ciudadanías juveniles</t>
  </si>
  <si>
    <t>Beneficiar 50 iniciativas y espacios juveniles priorizando jóvenes en condición de vulnerabilidad</t>
  </si>
  <si>
    <t>147. Bogotá capital creativa de la música</t>
  </si>
  <si>
    <t>Apoyar la consolidación de 7 redes para fortalecer la oferta y apropiación musical en la ciudad</t>
  </si>
  <si>
    <t>149. Fortalecimiento de la red de bibliotecas y fomento o valoración a la lectura</t>
  </si>
  <si>
    <t>Lograr la participación de 303.000 personas en oportunidades que favorezcan el acceso a actividades de fomento a la lectura y escritura en condiciones de equidad, inclusión y no segregación</t>
  </si>
  <si>
    <t>143. Corredores Culturales y Recreativos</t>
  </si>
  <si>
    <r>
      <t xml:space="preserve">Garantizar 11 corredores culturales y recreativos, reconocidos e intervenidos de manera integral y participativa, para el disfrute de la ciudadanía. </t>
    </r>
    <r>
      <rPr>
        <sz val="10"/>
        <color indexed="8"/>
        <rFont val="Segoe UI"/>
        <family val="2"/>
      </rPr>
      <t>(Meta retirada en 2013)</t>
    </r>
  </si>
  <si>
    <r>
      <t xml:space="preserve">10
</t>
    </r>
    <r>
      <rPr>
        <sz val="10"/>
        <color indexed="8"/>
        <rFont val="Segoe UI"/>
        <family val="2"/>
      </rPr>
      <t>(Meta retirada en 2013)</t>
    </r>
  </si>
  <si>
    <t>N.A.</t>
  </si>
  <si>
    <t>N.A</t>
  </si>
  <si>
    <t>Lograr que 260.000 personas accedan a la oferta pública del IDARTES a través de medios masivos de comunicación e internet</t>
  </si>
  <si>
    <t>INTERNA</t>
  </si>
  <si>
    <t>Realizar 10.000 actividades artisticas permanentes y diversas con criterios de proximidad, pertinencia y calidad</t>
  </si>
  <si>
    <t>16. Revitalización del centro ampliado</t>
  </si>
  <si>
    <t>177. Intervenciones urbanas priorizadas</t>
  </si>
  <si>
    <t>787.
Intervenciones urbanas a través de las artes</t>
  </si>
  <si>
    <t>Llevar a cabo 6 intervenciones locales mediante estímulos, alianzas o apoyos</t>
  </si>
  <si>
    <t>03. Una Bogotá que defiende y fortalece lo público</t>
  </si>
  <si>
    <t>24. Bogotá Humana: participa y decide</t>
  </si>
  <si>
    <t>215. Planeación y presupuesto participativo para la superación de la segregación y discriminación social, económica, espacial y cultural</t>
  </si>
  <si>
    <t>944.
Fortalecimiento de la capacidad institucional para promover la participación ciudadana y la construcción de probidad</t>
  </si>
  <si>
    <t>Desarrollar 6 procesos participativos en torno a las temáticas del campo de las artes.</t>
  </si>
  <si>
    <t>Lograr la participacion de 8.000 personas en actividades de consulta, concertación, decisión y control social de los asuntos artísticos</t>
  </si>
  <si>
    <t>26. Transparencia, probidad, lucha contra la corrupción y control social efectivo e incluyente</t>
  </si>
  <si>
    <t>222. Fortalecimiento de la capacidad institucional para identificar, prevenir y resolver problemas de corrupción y para identificar oportunidades de probidad</t>
  </si>
  <si>
    <t>Implementar en 86 entidades (44 entidades, 22 hospitales y 20 localidades) siete herramientas de transparencia, probidad y cultura ciudadana y de la legalidad en el marco de una política distrital de transparencia y lucha contra la corrupción y en concordancia con el estatuto anticorrupción.</t>
  </si>
  <si>
    <t>Diseñar e implementar 1 herramienta de transparencia y probidad en la entidad.</t>
  </si>
  <si>
    <t>31. Fortalecimiento de la función administrativa y desarrollo institucional</t>
  </si>
  <si>
    <t>235. Sistemas de mejoramiento de la gestión y de la capacidad operativa de las entidades</t>
  </si>
  <si>
    <t>784.
Fortalecimiento de la gestión institucional del Instituto Distrital de las Artes</t>
  </si>
  <si>
    <t>Implementar el (100% del) Sistema de Gestión de Calidad bajo la norma del Modelo Estándar de Control Interno MECI</t>
  </si>
  <si>
    <t>Poner en produccion e integrar 4 aplicativos en apoyo a la gestión institucional</t>
  </si>
  <si>
    <t>Alcanzar y mantener 2 puntos de atencion al ciudadano en el IDARTES</t>
  </si>
  <si>
    <t>Alcanzar 1.000.000 seguidores del IDARTES en nuevas tecnologias (redes sociales)</t>
  </si>
  <si>
    <t>794. Gestión de la divulgación, difusión y las comunicaciones en el Instituto Distrital de las Artes</t>
  </si>
  <si>
    <t>Alcanzar 3.000 impactos en medios masivos de comunicaciones</t>
  </si>
  <si>
    <t>Construir y mantener 1 herramienta interna de comunicación organizacional soportada en nuevas tecnologías</t>
  </si>
  <si>
    <t xml:space="preserve"> </t>
  </si>
  <si>
    <t>Proy 982</t>
  </si>
  <si>
    <t>Proy 993</t>
  </si>
  <si>
    <t>Proy 1000</t>
  </si>
  <si>
    <t>Proy 985</t>
  </si>
  <si>
    <t>Proy 1010</t>
  </si>
  <si>
    <t>Proy 996</t>
  </si>
  <si>
    <t>Proy 1017</t>
  </si>
  <si>
    <t>Proy 998</t>
  </si>
  <si>
    <t>Proy 999</t>
  </si>
  <si>
    <t>1-996</t>
  </si>
  <si>
    <t>1-1017</t>
  </si>
  <si>
    <t>3-1010/1-982</t>
  </si>
  <si>
    <t>En la vigencia 2016, se siguen observando un número importante de modificaciones de los planes de inversión, no obstante, se evidencia una ligera mejoría en las prácticas de planeación y ejecución de los proyectos de inversión, reduciéndose el número de modificaciones mensuales respecto a las mostradas en la vigencia 2015, pasando de 15,25 a 12 modificaciones  promedio mensual durante el primer semestre y a 14,3 promedio mensual en el segundo semestre. 
El comportamiento por proyectos sigue mostrando un elevado número de modificaciones en los proyectos 795, 915, 914 y 783, en su orden, pero también se ha dado una reducción en el número acumulado durante los cinco meses de finalización del plan de desarrollo; para el segundo semestre en el marco del nuevo PDD se incremetan el número de modificaciones por proyecto siendo los proyectos 1010, 1017, 998 y 993 los de mayor número en orden descendente. Se sigue evidenciando la necesidad de diseñar estrategias de mejoramiento en el proceso de planeación y ejecuión del Plan de Acción.
Parte de las modificaciones obedecieron a los ajustes necesarios y acordes con la suspensión presupuestal al comienzo de la vigencia, a algunos convenios interadministrativos y a los ajustes necesarios en el arranque de los proyectos del nuevo Plan de Desarrollo.
No obstante a lo anterior, la conclusión esta en el orden de una elaboración del plan de acción juiciosa, viable, aterrizada y contextualizada, que permita una ejecución con el mínimo de ajustes, aplicable al siguiente plan de desarrollo, a la terminación de la presente vigencia y a las siguientes.</t>
  </si>
  <si>
    <t>Realizar 81.000 atenciones a niños y niñas en el programa de atención integral a la primera infancia.</t>
  </si>
  <si>
    <t>META PRODUCTO</t>
  </si>
  <si>
    <t xml:space="preserve">Realizar 507.650 atenciones a niños, niñas y adolescentes en el marco del programa jornada única y tiempo escolar durante el cuatrienio. </t>
  </si>
  <si>
    <t>Aumentar a 3.143 el número de estímulos otorgados a agentes del sector.</t>
  </si>
  <si>
    <t>Aumentar a 400 los proyectos de organizaciones culturales, recreativos y deportivos apoyados.</t>
  </si>
  <si>
    <t>Fortalecer 4 iniciativas de Clústers y valor compartido</t>
  </si>
  <si>
    <t>Mejorar 132 equipamientos culturales, recreativos y deportivos.</t>
  </si>
  <si>
    <t>Gestionar la construcción de 5 equipamientos culturales, recreativos y deportivos.</t>
  </si>
  <si>
    <t>Realizar 132.071 actividades culturales, recreativas y deportivas, articuladas con grupos poblacionales y/o territorios.</t>
  </si>
  <si>
    <t xml:space="preserve">Incrementar a un 90% la sostenibilidad del SIG en el Gobierno Distrital. </t>
  </si>
  <si>
    <t xml:space="preserve">tenciones a niños, adolescentes, jóvenes, adultos y adultos mayores </t>
  </si>
  <si>
    <t>Iniciativas artísticas apoyadas</t>
  </si>
  <si>
    <t>apoyos a organizaciones: apoyos concertados, apoyos metropolitanos y alianzas sectoriales</t>
  </si>
  <si>
    <t>iniciativas de territorios culturales, clústers o circuitos artísticos</t>
  </si>
  <si>
    <t>localidades con oferta frecuente de bienes y servicios</t>
  </si>
  <si>
    <t xml:space="preserve">programas de mejoramiento y dotación  especializada en los equipamientos </t>
  </si>
  <si>
    <t>Equipamientos culturales construidos y dotados en el Distrito Capital</t>
  </si>
  <si>
    <t>equipamientos culturales y sedes adecuadas, dotadas y mantenidas.</t>
  </si>
  <si>
    <t xml:space="preserve">asistencias a las actividades en torno a la interacción entre arte,  la cultura científica y la tecnología </t>
  </si>
  <si>
    <t>actividades  en torno a la interacción entre arte,  cultura científica y tecnología</t>
  </si>
  <si>
    <t>asistencias a las actividades artísticas programadas en las 20 localidades</t>
  </si>
  <si>
    <t>actividades artísticas incluyentes y descentralizadas en las 20 localidades</t>
  </si>
  <si>
    <t>actividades orientadas a poner a disposición de la ciudad 62. 260 ejemplares de nuevos libros en formato digital e impreso</t>
  </si>
  <si>
    <t xml:space="preserve">% de implementación  del Sistema Integrado de Gestión. </t>
  </si>
  <si>
    <t>Alcanzar 40 acciones de  formación para fortalecer la organización, el  emprendimiento y la empleabilidad del sector de las artes y oficios afines.</t>
  </si>
  <si>
    <t xml:space="preserve"> acciones de  formación para organizaciones </t>
  </si>
  <si>
    <t>asistencias a las actividades artísticas programadas en los escenarios del Idartes.</t>
  </si>
  <si>
    <t>actividades artísticas en la red de equipamientos en las 20 localidades.</t>
  </si>
  <si>
    <t>Apoyar proyectos de carácter comunitario.</t>
  </si>
  <si>
    <t>generar espacios para la práctica artística aficionada en los territorios</t>
  </si>
  <si>
    <t>POND</t>
  </si>
  <si>
    <t xml:space="preserve">En 2016, teniendo en cuenta que apenas comienza la ejecución del nuevo PDD "Bogotá Mejor para Todos", se observa un avance acumulado bastante alto, en este sentido, los proyectos que presentan una ejecución bastante por encima del esperado son el 998, 1010, 993 y 982, esto se debe a varias razones, de una parte las líneas base es un valor cercano a la metas, la meta de la vigencia ya implica un avance superior al porcentaje esperado para la vigencia, por ejemplo en el proyecto 982 la meta de cbertura de niños, niñas yadolescentes para 2016 es de 50.000 que de hecho representa el 18,38% de la meta plurianual, es decir, mucho mayor al 12,5% esperado para la primera vigencia, así las cosas, con el solo cumplimiento de la meta principal del proyecto se superan las espectativas de la vigencia, lo mismo sucede con el proy 993 en donde su prinipal meta para 2016 representa el 48,38% de la meta cuatrienial, que al cumplirse o estar muy cerca, ya supera sustancialmente el porcentaje esperado; otro aspecto corresponde a la contibnuidad de procesos que ha venido desarrollando el IDARTES desde vigencias anteriores que permiten trazar metas relativamente altas para 2016, ya que su implementación no arranca de cero, tal es el caso evidente del avance de implementación del SIG del proy 998 cuyo cumplimiento por demás representa un avance del 94%, por esto el efecto en el avance acumulado. Para un mejor análisis bien vale la pena revisar y comparar estos proyectos con las metas y aspectos similares de los proyectos de inversión que los antecedieron, establecer líneas base y trazabilidad de las vigencias anteriores.
Para los otros proyectos estas condiciones tienen menor incidencia y en consecuencia su avance acumulado parece más acorde con el esperado.
Vale señalar que el avance del proyecto 1010, tiene un avance importante por el tipo de meta que tiene como derrotero la dotación, adecuiación y mantenimiento de los equipamientos y la consterucción de los dos nuevos equipamientos para la ciudad que han tomado un impulso importante fesnte a lo espreado.
De lo anterior también se puede decir, que hay un esfuerzo y un reto mayor desde el inicio del PDD, imponiendo metas exigentes que a la postre garanticen el cumplimiento de las metas cuatrieniales.
</t>
  </si>
  <si>
    <t>niños y niñas de primera infancia encuentros grupales</t>
  </si>
  <si>
    <t>niños y niñas de primera infancia actividades circulación</t>
  </si>
  <si>
    <t>En 2016, si se parte del hecho que el avance esperado sería del 12,5 % de cuatrienio, se obtiene un avance relativo del 226%, mientras que el avance acumulado se situa en el 28,33%, lo que aparentemente presume un buen inicio en la ejecución de las metas del IDARTES que tienen relación directa con las metas del Plan de Desarollo "Bogotá Mejor para Todos".
En cuanto al proyetco 993, que se enfoca en la atención de la primera infancia y teniendo en cuenta lo realizado en el proyecto similar del PDD anterior, se puede anotar que dicha atención se continua consolidando y avanza en una mayor cobertura en el nuevo plan de desarrollo.
Por su parte la meta que corresponde al proyecto 982, que tiene que ver con la formación artística de niños, niñas y adolescente, tiene un ligero incremento respecto a lo conseguido al final del anterior PDD, tiene una reducción importante frente a los resultados de la vigencia anterior y su resultado está por debajo de la meta prevista para 2016, lo que genera cierto grado de incertidumbre y exige un revisión y seguimiento atento del proyecto, que permita alcanzar la mata para 2017 y posteriores.
En el mismo sentido, al avance de las metas de los proyectos 1000 y 985, en 2016, tienen un desempeño satisfactorio y acorde a lo planeado.
Para 2016, en tanto, el avance de las metas del proy 999, es de contrastes, de una parte alcanzó una asistencias del 13,5% que aparentemente superan lo esperado, pero que están por debajo de lo esperado para el segundo semetre de la vigencia, adicionalmente los programas de mejoramiento especializado tuvieron un avance bastante por debajo de lo planeado, mientras que la cobertura territorial fue superior a lo esperado, es importante revisar las estrategias del proyecto y realizar ajustes que garanticen el cumpleimiento de las metas en 2017 y el resto del cuatrienio.
Así mismo, el avance del proyecto 996, que procura la integración en torno a la interacción entre arte,  la cultura científica y la tecnología, si bien supero la meta de actividades desarrolladas no obtuvo las asistencias planeadas, obteniendo un resultado un poco por debajo, no obstante, en relación con el cuatrienio esta por encima de la expectativa, por lo que se esperaría un mejor desempeño para 2017.
Respecto al proyecto 1010, se superó la meta de 8 equipamientos culturales y sedes adecuadas, dotadas y mantenidas y se tuvo un avance superior al esperado en cuanto a la construcción de la Galería Santa Fe y la Nueva Cinemateca Distrital.
De la misma manera, el proyecto 999, reportó un avance en sus metas de superó los resultados esperado para la vigencia 2016.
Adicionalmente, el proyecto 1017 cuyas metas están enfocadas en la oferta cultural y artística en los territorios de la ciudad, presentan buenos resultados en cuanto a la realización de actividades y asistencias, se cumplieron respecto a las metas de apoyo a los proyectos comunitarios y generación de espacios para las prácticas artísticas y estuvieron cercanos a la meta en lo que corresponde al fomento a la lectura y la escritura.
Finalmente, el avance del % de implementación  del Sistema Integrado de Gestión, se observa alta respecto al avance acumulado, en realidad, cumplió de manera justa la meta planeada de la vigencia.</t>
  </si>
  <si>
    <t>Avance acumulado de las Metas de cada Proyecto Prioritario del Plan de Desarrollo</t>
  </si>
  <si>
    <t>TOTAL 2016-2020</t>
  </si>
  <si>
    <t>Ivan Rozo Ramirez</t>
  </si>
  <si>
    <t>Contratista</t>
  </si>
  <si>
    <t>2016-2020</t>
  </si>
  <si>
    <t>Ejecución 2017</t>
  </si>
  <si>
    <t>Ejecución 2018</t>
  </si>
  <si>
    <t>Meta 2019</t>
  </si>
  <si>
    <t>Meta 2017</t>
  </si>
  <si>
    <t>Meta 2018</t>
  </si>
  <si>
    <t>Ejecución 2019</t>
  </si>
  <si>
    <t>% Avance Plan Diciembre 2016</t>
  </si>
  <si>
    <t>Ejecución Acumulada Diciembre 2017</t>
  </si>
  <si>
    <t>% Avance Plan Junio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</si>
</sst>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 #,##0.00_);_(&quot;$&quot;\ * \(#,##0.00\);_(&quot;$&quot;\ * &quot;-&quot;??_);_(@_)"/>
    <numFmt numFmtId="43" formatCode="_(* #,##0.00_);_(* \(#,##0.00\);_(* &quot;-&quot;??_);_(@_)"/>
    <numFmt numFmtId="164" formatCode="[$$-240A]#,##0.00;[Red]\([$$-240A]#,##0.00\)"/>
    <numFmt numFmtId="165" formatCode="#,##0.00\ ;&quot; (&quot;#,##0.00\);&quot; -&quot;00\ ;@\ "/>
    <numFmt numFmtId="166" formatCode="0.0%"/>
    <numFmt numFmtId="167" formatCode="[$$-240A]#,##0;[Red]\([$$-240A]#,##0\)"/>
    <numFmt numFmtId="168" formatCode="_-* #,##0.00_-;\-* #,##0.00_-;_-* \-??_-;_-@_-"/>
    <numFmt numFmtId="169" formatCode="_(* #,##0_);_(* \(#,##0\);_(* \-??_);_(@_)"/>
    <numFmt numFmtId="170" formatCode="[$-240A]dddd\,\ dd&quot; de &quot;mmmm&quot; de &quot;yyyy"/>
    <numFmt numFmtId="171" formatCode="[$-240A]hh:mm:ss\ AM/PM"/>
    <numFmt numFmtId="172" formatCode="_(&quot;$ &quot;* #,##0.00_);_(&quot;$ &quot;* \(#,##0.00\);_(&quot;$ &quot;* \-??_);_(@_)"/>
    <numFmt numFmtId="173" formatCode="_ * #,##0.00_ ;_ * \-#,##0.00_ ;_ * &quot;-&quot;??_ ;_ @_ "/>
    <numFmt numFmtId="174" formatCode="#,##0.0"/>
  </numFmts>
  <fonts count="33">
    <font>
      <sz val="10"/>
      <color indexed="8"/>
      <name val="Arial"/>
      <family val="2"/>
    </font>
    <font>
      <sz val="10"/>
      <name val="Arial"/>
      <family val="2"/>
    </font>
    <font>
      <b/>
      <i/>
      <sz val="16"/>
      <color indexed="8"/>
      <name val="Arial"/>
      <family val="2"/>
    </font>
    <font>
      <sz val="11"/>
      <color indexed="8"/>
      <name val="Calibri"/>
      <family val="2"/>
    </font>
    <font>
      <b/>
      <sz val="10"/>
      <color indexed="8"/>
      <name val="Arial"/>
      <family val="2"/>
    </font>
    <font>
      <b/>
      <i/>
      <u/>
      <sz val="10"/>
      <color indexed="8"/>
      <name val="Arial"/>
      <family val="2"/>
    </font>
    <font>
      <b/>
      <sz val="11"/>
      <color indexed="8"/>
      <name val="Arial"/>
      <family val="2"/>
    </font>
    <font>
      <sz val="12"/>
      <color indexed="8"/>
      <name val="Arial"/>
      <family val="2"/>
    </font>
    <font>
      <sz val="11"/>
      <color indexed="8"/>
      <name val="Arial"/>
      <family val="2"/>
    </font>
    <font>
      <sz val="12"/>
      <color indexed="8"/>
      <name val="Calibri"/>
      <family val="2"/>
    </font>
    <font>
      <sz val="9"/>
      <color indexed="8"/>
      <name val="Arial"/>
      <family val="2"/>
    </font>
    <font>
      <sz val="10"/>
      <color indexed="9"/>
      <name val="Arial"/>
      <family val="2"/>
    </font>
    <font>
      <b/>
      <sz val="14"/>
      <color indexed="8"/>
      <name val="Arial"/>
      <family val="2"/>
    </font>
    <font>
      <sz val="14"/>
      <color indexed="8"/>
      <name val="Arial"/>
      <family val="2"/>
    </font>
    <font>
      <sz val="10"/>
      <color indexed="8"/>
      <name val="Arial1"/>
    </font>
    <font>
      <sz val="11"/>
      <color indexed="9"/>
      <name val="Arial"/>
      <family val="2"/>
    </font>
    <font>
      <sz val="12"/>
      <color indexed="8"/>
      <name val="Calibri1"/>
    </font>
    <font>
      <sz val="12"/>
      <color indexed="8"/>
      <name val="Arial1"/>
    </font>
    <font>
      <b/>
      <sz val="11"/>
      <color indexed="8"/>
      <name val="Calibri"/>
      <family val="2"/>
    </font>
    <font>
      <sz val="11"/>
      <color indexed="8"/>
      <name val="Calibri2"/>
    </font>
    <font>
      <b/>
      <sz val="11"/>
      <color indexed="8"/>
      <name val="Calibri2"/>
    </font>
    <font>
      <b/>
      <sz val="16"/>
      <color indexed="8"/>
      <name val="Calibri"/>
      <family val="2"/>
    </font>
    <font>
      <b/>
      <sz val="13"/>
      <color indexed="8"/>
      <name val="Arial"/>
      <family val="2"/>
    </font>
    <font>
      <sz val="10"/>
      <color indexed="8"/>
      <name val="Segoe UI"/>
      <family val="2"/>
    </font>
    <font>
      <sz val="10"/>
      <color indexed="8"/>
      <name val="Arial"/>
      <family val="2"/>
    </font>
    <font>
      <sz val="11"/>
      <name val="Calibri"/>
      <family val="2"/>
    </font>
    <font>
      <sz val="11"/>
      <color indexed="8"/>
      <name val="Calibri"/>
      <family val="2"/>
      <charset val="1"/>
    </font>
    <font>
      <sz val="10"/>
      <name val="Arial"/>
      <family val="2"/>
      <charset val="1"/>
    </font>
    <font>
      <sz val="10"/>
      <name val="Arial"/>
      <family val="2"/>
    </font>
    <font>
      <b/>
      <sz val="10"/>
      <name val="Arial"/>
      <family val="2"/>
    </font>
    <font>
      <sz val="11"/>
      <color theme="1"/>
      <name val="Calibri"/>
      <family val="2"/>
      <scheme val="minor"/>
    </font>
    <font>
      <sz val="11"/>
      <color rgb="FF000000"/>
      <name val="Calibri"/>
      <family val="2"/>
      <charset val="1"/>
    </font>
    <font>
      <sz val="10"/>
      <color theme="0"/>
      <name val="Arial"/>
      <family val="2"/>
    </font>
  </fonts>
  <fills count="15">
    <fill>
      <patternFill patternType="none"/>
    </fill>
    <fill>
      <patternFill patternType="gray125"/>
    </fill>
    <fill>
      <patternFill patternType="solid">
        <fgColor indexed="49"/>
        <bgColor indexed="40"/>
      </patternFill>
    </fill>
    <fill>
      <patternFill patternType="solid">
        <fgColor indexed="9"/>
        <bgColor indexed="26"/>
      </patternFill>
    </fill>
    <fill>
      <patternFill patternType="solid">
        <fgColor indexed="44"/>
        <bgColor indexed="24"/>
      </patternFill>
    </fill>
    <fill>
      <patternFill patternType="solid">
        <fgColor indexed="13"/>
        <bgColor indexed="51"/>
      </patternFill>
    </fill>
    <fill>
      <patternFill patternType="solid">
        <fgColor indexed="15"/>
        <bgColor indexed="35"/>
      </patternFill>
    </fill>
    <fill>
      <patternFill patternType="solid">
        <fgColor indexed="47"/>
        <bgColor indexed="42"/>
      </patternFill>
    </fill>
    <fill>
      <patternFill patternType="solid">
        <fgColor indexed="27"/>
        <bgColor indexed="41"/>
      </patternFill>
    </fill>
    <fill>
      <patternFill patternType="solid">
        <fgColor indexed="55"/>
        <bgColor indexed="23"/>
      </patternFill>
    </fill>
    <fill>
      <patternFill patternType="solid">
        <fgColor indexed="50"/>
        <bgColor indexed="34"/>
      </patternFill>
    </fill>
    <fill>
      <patternFill patternType="solid">
        <fgColor indexed="40"/>
        <bgColor indexed="49"/>
      </patternFill>
    </fill>
    <fill>
      <patternFill patternType="solid">
        <fgColor indexed="26"/>
        <bgColor indexed="9"/>
      </patternFill>
    </fill>
    <fill>
      <patternFill patternType="solid">
        <fgColor indexed="22"/>
        <bgColor indexed="31"/>
      </patternFill>
    </fill>
    <fill>
      <patternFill patternType="solid">
        <fgColor theme="0"/>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64"/>
      </top>
      <bottom/>
      <diagonal/>
    </border>
  </borders>
  <cellStyleXfs count="38">
    <xf numFmtId="0" fontId="0" fillId="0" borderId="0"/>
    <xf numFmtId="0" fontId="24" fillId="0" borderId="0">
      <alignment horizontal="left"/>
    </xf>
    <xf numFmtId="0" fontId="2" fillId="0" borderId="0">
      <alignment horizontal="center"/>
    </xf>
    <xf numFmtId="0" fontId="2" fillId="0" borderId="0">
      <alignment horizontal="center" textRotation="90"/>
    </xf>
    <xf numFmtId="165" fontId="24" fillId="0" borderId="0"/>
    <xf numFmtId="170" fontId="28" fillId="0" borderId="0" applyFill="0" applyBorder="0" applyAlignment="0" applyProtection="0"/>
    <xf numFmtId="43" fontId="30" fillId="0" borderId="0" applyFont="0" applyFill="0" applyBorder="0" applyAlignment="0" applyProtection="0"/>
    <xf numFmtId="171" fontId="3" fillId="0" borderId="0" applyFill="0" applyBorder="0" applyProtection="0">
      <alignment vertical="center"/>
    </xf>
    <xf numFmtId="173" fontId="28" fillId="0" borderId="0" applyFont="0" applyFill="0" applyBorder="0" applyAlignment="0" applyProtection="0"/>
    <xf numFmtId="168" fontId="3" fillId="0" borderId="0" applyFill="0" applyBorder="0" applyAlignment="0" applyProtection="0"/>
    <xf numFmtId="44" fontId="30" fillId="0" borderId="0" applyFont="0" applyFill="0" applyBorder="0" applyAlignment="0" applyProtection="0"/>
    <xf numFmtId="172" fontId="31" fillId="0" borderId="0"/>
    <xf numFmtId="44" fontId="3" fillId="0" borderId="0" applyFont="0" applyFill="0" applyBorder="0" applyAlignment="0" applyProtection="0"/>
    <xf numFmtId="0" fontId="24" fillId="0" borderId="0"/>
    <xf numFmtId="0" fontId="30" fillId="0" borderId="0"/>
    <xf numFmtId="0" fontId="3" fillId="0" borderId="0"/>
    <xf numFmtId="0" fontId="27" fillId="0" borderId="0"/>
    <xf numFmtId="0" fontId="30" fillId="0" borderId="0"/>
    <xf numFmtId="0" fontId="28" fillId="0" borderId="0"/>
    <xf numFmtId="0" fontId="28" fillId="0" borderId="0">
      <alignment vertical="center"/>
    </xf>
    <xf numFmtId="0" fontId="28" fillId="0" borderId="0">
      <alignment vertical="center"/>
    </xf>
    <xf numFmtId="0" fontId="31" fillId="0" borderId="0"/>
    <xf numFmtId="0" fontId="28" fillId="0" borderId="0">
      <alignment vertical="center"/>
    </xf>
    <xf numFmtId="0" fontId="26" fillId="0" borderId="0"/>
    <xf numFmtId="0" fontId="3" fillId="0" borderId="0"/>
    <xf numFmtId="0" fontId="24" fillId="0" borderId="0"/>
    <xf numFmtId="0" fontId="24" fillId="0" borderId="0"/>
    <xf numFmtId="0" fontId="4" fillId="0" borderId="0"/>
    <xf numFmtId="0" fontId="4" fillId="0" borderId="0">
      <alignment horizontal="left"/>
    </xf>
    <xf numFmtId="0" fontId="24" fillId="0" borderId="0"/>
    <xf numFmtId="9" fontId="1" fillId="0" borderId="0" applyFill="0" applyBorder="0" applyAlignment="0" applyProtection="0"/>
    <xf numFmtId="9" fontId="30" fillId="0" borderId="0" applyFont="0" applyFill="0" applyBorder="0" applyAlignment="0" applyProtection="0"/>
    <xf numFmtId="9" fontId="31" fillId="0" borderId="0"/>
    <xf numFmtId="9" fontId="3" fillId="0" borderId="0" applyFill="0" applyBorder="0" applyAlignment="0" applyProtection="0"/>
    <xf numFmtId="9" fontId="24" fillId="0" borderId="0"/>
    <xf numFmtId="9" fontId="24" fillId="0" borderId="0"/>
    <xf numFmtId="0" fontId="5" fillId="0" borderId="0"/>
    <xf numFmtId="164" fontId="5" fillId="0" borderId="0"/>
  </cellStyleXfs>
  <cellXfs count="241">
    <xf numFmtId="0" fontId="0" fillId="0" borderId="0" xfId="0"/>
    <xf numFmtId="0" fontId="0" fillId="0" borderId="0" xfId="0" applyAlignment="1">
      <alignment horizontal="center" vertical="center" wrapText="1"/>
    </xf>
    <xf numFmtId="0" fontId="0" fillId="0" borderId="2" xfId="0" applyFont="1" applyFill="1" applyBorder="1" applyAlignment="1">
      <alignment horizontal="center" vertical="center" wrapText="1"/>
    </xf>
    <xf numFmtId="0" fontId="0" fillId="0" borderId="0" xfId="0" applyFill="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6" fillId="0" borderId="2" xfId="4" applyNumberFormat="1" applyFont="1" applyBorder="1" applyAlignment="1">
      <alignment horizontal="center" vertical="center" wrapText="1"/>
    </xf>
    <xf numFmtId="0" fontId="8" fillId="0" borderId="2" xfId="4" applyNumberFormat="1" applyFont="1" applyBorder="1" applyAlignment="1">
      <alignment horizontal="center" vertical="center" wrapText="1"/>
    </xf>
    <xf numFmtId="3" fontId="9" fillId="0" borderId="2" xfId="0" applyNumberFormat="1" applyFont="1" applyFill="1" applyBorder="1" applyAlignment="1">
      <alignment horizontal="center" vertical="center" wrapText="1"/>
    </xf>
    <xf numFmtId="3" fontId="10" fillId="0" borderId="2" xfId="4" applyNumberFormat="1" applyFont="1" applyBorder="1" applyAlignment="1">
      <alignment horizontal="center" vertical="center" wrapText="1"/>
    </xf>
    <xf numFmtId="3" fontId="9" fillId="3" borderId="2"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9" fontId="11" fillId="0" borderId="2" xfId="34" applyFont="1" applyBorder="1" applyAlignment="1">
      <alignment horizontal="center" vertical="center" wrapText="1"/>
    </xf>
    <xf numFmtId="0" fontId="11" fillId="0" borderId="0" xfId="0" applyFont="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 xfId="0" applyFont="1" applyFill="1" applyBorder="1"/>
    <xf numFmtId="0" fontId="8" fillId="3" borderId="6" xfId="0" applyFont="1" applyFill="1" applyBorder="1"/>
    <xf numFmtId="0" fontId="8" fillId="3" borderId="7"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xf numFmtId="0" fontId="8" fillId="3" borderId="8" xfId="0" applyFont="1" applyFill="1" applyBorder="1"/>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0" xfId="0" applyFont="1" applyFill="1" applyBorder="1"/>
    <xf numFmtId="0" fontId="8" fillId="3" borderId="11" xfId="0" applyFont="1" applyFill="1" applyBorder="1"/>
    <xf numFmtId="0" fontId="0" fillId="0" borderId="2" xfId="0" applyFill="1" applyBorder="1"/>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2" fontId="8" fillId="0" borderId="2" xfId="4" applyNumberFormat="1" applyFont="1" applyBorder="1" applyAlignment="1">
      <alignment horizontal="center" vertical="center" wrapText="1"/>
    </xf>
    <xf numFmtId="3" fontId="8" fillId="0" borderId="2" xfId="4" applyNumberFormat="1" applyFont="1" applyBorder="1" applyAlignment="1">
      <alignment horizontal="center" vertical="center" wrapText="1"/>
    </xf>
    <xf numFmtId="10" fontId="8" fillId="0" borderId="2" xfId="4"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0" fontId="6" fillId="2" borderId="2" xfId="13" applyFont="1" applyFill="1" applyBorder="1" applyAlignment="1">
      <alignment horizontal="center" vertical="center" wrapText="1"/>
    </xf>
    <xf numFmtId="0" fontId="8" fillId="3" borderId="2" xfId="0"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0" fontId="6" fillId="0" borderId="2" xfId="4" applyNumberFormat="1" applyFont="1" applyBorder="1" applyAlignment="1">
      <alignment horizontal="center" vertical="center" wrapText="1"/>
    </xf>
    <xf numFmtId="0" fontId="4" fillId="0" borderId="2" xfId="0"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10" fontId="0" fillId="0" borderId="2" xfId="4" applyNumberFormat="1" applyFont="1" applyBorder="1" applyAlignment="1">
      <alignment horizontal="center" vertical="center" wrapText="1"/>
    </xf>
    <xf numFmtId="0" fontId="0" fillId="0" borderId="2" xfId="0" applyFont="1" applyBorder="1" applyAlignment="1">
      <alignment horizontal="center" vertical="center" wrapText="1"/>
    </xf>
    <xf numFmtId="9" fontId="4" fillId="0" borderId="2" xfId="0" applyNumberFormat="1" applyFont="1" applyFill="1" applyBorder="1" applyAlignment="1">
      <alignment horizontal="center" vertical="center" wrapText="1"/>
    </xf>
    <xf numFmtId="0" fontId="8" fillId="0" borderId="2" xfId="4" applyNumberFormat="1" applyFont="1" applyFill="1" applyBorder="1" applyAlignment="1">
      <alignment horizontal="center" vertical="center" wrapText="1"/>
    </xf>
    <xf numFmtId="10" fontId="6" fillId="0" borderId="2" xfId="0" applyNumberFormat="1" applyFont="1" applyBorder="1" applyAlignment="1">
      <alignment horizontal="center" vertical="center" wrapText="1"/>
    </xf>
    <xf numFmtId="9" fontId="8" fillId="0" borderId="2" xfId="4" applyNumberFormat="1" applyFont="1" applyBorder="1" applyAlignment="1">
      <alignment horizontal="center" vertical="center" wrapText="1"/>
    </xf>
    <xf numFmtId="10" fontId="8" fillId="0" borderId="2" xfId="4"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9" fontId="6" fillId="0" borderId="2" xfId="0" applyNumberFormat="1" applyFont="1" applyBorder="1" applyAlignment="1">
      <alignment horizontal="center" vertical="center" wrapText="1"/>
    </xf>
    <xf numFmtId="166" fontId="4" fillId="0" borderId="2" xfId="0" applyNumberFormat="1"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7" xfId="0" applyFill="1" applyBorder="1" applyAlignment="1">
      <alignment horizontal="center" vertical="center" wrapText="1"/>
    </xf>
    <xf numFmtId="0" fontId="0" fillId="3" borderId="0"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10" fontId="4" fillId="5" borderId="2" xfId="0" applyNumberFormat="1" applyFont="1" applyFill="1" applyBorder="1" applyAlignment="1">
      <alignment horizontal="center" vertical="center" wrapText="1"/>
    </xf>
    <xf numFmtId="10" fontId="0" fillId="0" borderId="2" xfId="0" applyNumberFormat="1" applyBorder="1" applyAlignment="1">
      <alignment horizontal="center"/>
    </xf>
    <xf numFmtId="10" fontId="0" fillId="7" borderId="2" xfId="4" applyNumberFormat="1" applyFont="1" applyFill="1" applyBorder="1" applyAlignment="1">
      <alignment horizontal="center" vertical="center" wrapText="1"/>
    </xf>
    <xf numFmtId="10" fontId="4" fillId="8" borderId="2" xfId="4" applyNumberFormat="1" applyFont="1" applyFill="1" applyBorder="1" applyAlignment="1">
      <alignment horizontal="center" vertical="center" wrapText="1"/>
    </xf>
    <xf numFmtId="10" fontId="4" fillId="0" borderId="2" xfId="4" applyNumberFormat="1" applyFont="1" applyBorder="1" applyAlignment="1">
      <alignment horizontal="center" vertical="center" wrapText="1"/>
    </xf>
    <xf numFmtId="0" fontId="15" fillId="0" borderId="0" xfId="0" applyFont="1" applyFill="1" applyBorder="1" applyAlignment="1">
      <alignment horizontal="center" vertical="center" wrapText="1"/>
    </xf>
    <xf numFmtId="10" fontId="11" fillId="0" borderId="0" xfId="0" applyNumberFormat="1" applyFont="1" applyFill="1" applyAlignment="1">
      <alignment horizontal="center" vertical="center" wrapText="1"/>
    </xf>
    <xf numFmtId="10" fontId="4" fillId="0" borderId="2" xfId="4" applyNumberFormat="1" applyFont="1" applyFill="1" applyBorder="1" applyAlignment="1">
      <alignment horizontal="center" vertical="center" wrapText="1"/>
    </xf>
    <xf numFmtId="10" fontId="4" fillId="7" borderId="2" xfId="4" applyNumberFormat="1" applyFont="1" applyFill="1" applyBorder="1" applyAlignment="1">
      <alignment horizontal="center" vertical="center" wrapText="1"/>
    </xf>
    <xf numFmtId="10" fontId="4" fillId="6" borderId="2" xfId="0" applyNumberFormat="1" applyFont="1" applyFill="1" applyBorder="1" applyAlignment="1">
      <alignment horizontal="center" vertical="center" wrapText="1"/>
    </xf>
    <xf numFmtId="10" fontId="0" fillId="6" borderId="2" xfId="0" applyNumberFormat="1" applyFill="1" applyBorder="1" applyAlignment="1">
      <alignment horizontal="center"/>
    </xf>
    <xf numFmtId="10" fontId="4" fillId="6" borderId="2" xfId="0" applyNumberFormat="1" applyFont="1" applyFill="1" applyBorder="1" applyAlignment="1">
      <alignment horizontal="center"/>
    </xf>
    <xf numFmtId="10" fontId="4" fillId="8" borderId="2" xfId="0" applyNumberFormat="1" applyFont="1" applyFill="1" applyBorder="1" applyAlignment="1">
      <alignment horizontal="center" vertical="center" wrapText="1"/>
    </xf>
    <xf numFmtId="10" fontId="0" fillId="6" borderId="2" xfId="0" applyNumberFormat="1" applyFill="1" applyBorder="1" applyAlignment="1">
      <alignment horizontal="center" vertical="center"/>
    </xf>
    <xf numFmtId="0" fontId="6" fillId="0" borderId="2" xfId="0" applyFont="1" applyBorder="1" applyAlignment="1">
      <alignment horizontal="center" vertical="center" wrapText="1"/>
    </xf>
    <xf numFmtId="10" fontId="6" fillId="7" borderId="2" xfId="0"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0" fillId="0" borderId="2" xfId="0" applyBorder="1"/>
    <xf numFmtId="0" fontId="0" fillId="0" borderId="2" xfId="0" applyFont="1" applyBorder="1" applyAlignment="1">
      <alignment horizontal="center"/>
    </xf>
    <xf numFmtId="3" fontId="0" fillId="0" borderId="2" xfId="4" applyNumberFormat="1" applyFont="1" applyBorder="1" applyAlignment="1">
      <alignment wrapText="1"/>
    </xf>
    <xf numFmtId="3" fontId="0" fillId="0" borderId="2" xfId="4" applyNumberFormat="1" applyFont="1" applyFill="1" applyBorder="1" applyAlignment="1">
      <alignment wrapText="1"/>
    </xf>
    <xf numFmtId="10" fontId="0" fillId="0" borderId="2" xfId="4" applyNumberFormat="1" applyFont="1" applyFill="1" applyBorder="1" applyAlignment="1">
      <alignment wrapText="1"/>
    </xf>
    <xf numFmtId="0" fontId="0" fillId="0" borderId="2" xfId="4" applyNumberFormat="1" applyFont="1" applyBorder="1" applyAlignment="1">
      <alignment wrapText="1"/>
    </xf>
    <xf numFmtId="3" fontId="8" fillId="4" borderId="2" xfId="4" applyNumberFormat="1" applyFont="1" applyFill="1" applyBorder="1" applyAlignment="1">
      <alignment horizontal="center" vertical="center" wrapText="1"/>
    </xf>
    <xf numFmtId="10" fontId="0" fillId="0" borderId="0" xfId="0" applyNumberFormat="1" applyAlignment="1">
      <alignment horizontal="center" vertical="center" wrapText="1"/>
    </xf>
    <xf numFmtId="4" fontId="8" fillId="0" borderId="2" xfId="4" applyNumberFormat="1" applyFont="1" applyBorder="1" applyAlignment="1">
      <alignment horizontal="center" vertical="center" wrapText="1"/>
    </xf>
    <xf numFmtId="4" fontId="8" fillId="4" borderId="2" xfId="4" applyNumberFormat="1" applyFont="1" applyFill="1" applyBorder="1" applyAlignment="1">
      <alignment horizontal="center" vertical="center" wrapText="1"/>
    </xf>
    <xf numFmtId="0" fontId="8" fillId="2" borderId="2" xfId="0" applyFont="1" applyFill="1" applyBorder="1"/>
    <xf numFmtId="0" fontId="8" fillId="2" borderId="2" xfId="0" applyFont="1" applyFill="1" applyBorder="1" applyAlignment="1">
      <alignment horizontal="center" vertical="center" wrapText="1"/>
    </xf>
    <xf numFmtId="0" fontId="13" fillId="0" borderId="2" xfId="0" applyFont="1" applyBorder="1" applyAlignment="1">
      <alignment horizontal="left" vertical="center" wrapText="1"/>
    </xf>
    <xf numFmtId="0" fontId="8" fillId="0" borderId="2" xfId="0" applyFont="1" applyBorder="1"/>
    <xf numFmtId="3" fontId="4" fillId="9" borderId="2"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3" fontId="4" fillId="2" borderId="2" xfId="0" applyNumberFormat="1" applyFont="1" applyFill="1" applyBorder="1" applyAlignment="1">
      <alignment horizontal="center" vertical="center" wrapText="1"/>
    </xf>
    <xf numFmtId="3" fontId="4" fillId="5" borderId="2" xfId="0" applyNumberFormat="1" applyFont="1" applyFill="1" applyBorder="1" applyAlignment="1">
      <alignment horizontal="center" vertical="center" wrapText="1"/>
    </xf>
    <xf numFmtId="3" fontId="4" fillId="7" borderId="2" xfId="0" applyNumberFormat="1" applyFont="1" applyFill="1" applyBorder="1" applyAlignment="1">
      <alignment horizontal="center" vertical="center" wrapText="1"/>
    </xf>
    <xf numFmtId="3" fontId="6" fillId="10" borderId="2" xfId="4" applyNumberFormat="1" applyFont="1" applyFill="1" applyBorder="1" applyAlignment="1">
      <alignment horizontal="center" vertical="center" wrapText="1"/>
    </xf>
    <xf numFmtId="3" fontId="6" fillId="11" borderId="2" xfId="4" applyNumberFormat="1" applyFont="1" applyFill="1" applyBorder="1" applyAlignment="1">
      <alignment horizontal="center" vertical="center" wrapText="1"/>
    </xf>
    <xf numFmtId="10" fontId="6" fillId="0" borderId="2" xfId="4" applyNumberFormat="1" applyFont="1" applyFill="1" applyBorder="1" applyAlignment="1">
      <alignment horizontal="center" vertical="center" wrapText="1"/>
    </xf>
    <xf numFmtId="0" fontId="4" fillId="9"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10" fontId="4" fillId="7" borderId="2" xfId="0" applyNumberFormat="1" applyFont="1" applyFill="1" applyBorder="1" applyAlignment="1">
      <alignment horizontal="center" vertical="center" wrapText="1"/>
    </xf>
    <xf numFmtId="10" fontId="6" fillId="10" borderId="2" xfId="4" applyNumberFormat="1" applyFont="1" applyFill="1" applyBorder="1" applyAlignment="1">
      <alignment horizontal="center" vertical="center" wrapText="1"/>
    </xf>
    <xf numFmtId="10" fontId="6" fillId="11" borderId="2" xfId="4"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0" borderId="2" xfId="0" applyFont="1" applyBorder="1"/>
    <xf numFmtId="10" fontId="8" fillId="0" borderId="2" xfId="0" applyNumberFormat="1" applyFont="1" applyBorder="1" applyAlignment="1">
      <alignment horizontal="center" vertical="center" wrapText="1"/>
    </xf>
    <xf numFmtId="0" fontId="8" fillId="3" borderId="4" xfId="0" applyFont="1" applyFill="1" applyBorder="1"/>
    <xf numFmtId="0" fontId="8" fillId="3" borderId="7" xfId="0" applyFont="1" applyFill="1" applyBorder="1"/>
    <xf numFmtId="0" fontId="8" fillId="3" borderId="9" xfId="0" applyFont="1" applyFill="1" applyBorder="1"/>
    <xf numFmtId="3" fontId="6" fillId="0" borderId="2" xfId="4"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xf numFmtId="0" fontId="8" fillId="0" borderId="6" xfId="0" applyFont="1" applyBorder="1"/>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xf numFmtId="0" fontId="8" fillId="0" borderId="8" xfId="0" applyFont="1" applyBorder="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xf numFmtId="0" fontId="8" fillId="0" borderId="11" xfId="0" applyFont="1" applyBorder="1"/>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xf>
    <xf numFmtId="0" fontId="3" fillId="0" borderId="1" xfId="0" applyFont="1" applyFill="1" applyBorder="1" applyAlignment="1">
      <alignment vertical="center"/>
    </xf>
    <xf numFmtId="167" fontId="0" fillId="0" borderId="2" xfId="0" applyNumberFormat="1" applyFill="1" applyBorder="1"/>
    <xf numFmtId="0" fontId="0" fillId="0" borderId="2" xfId="0" applyFill="1" applyBorder="1" applyAlignment="1">
      <alignment horizontal="right"/>
    </xf>
    <xf numFmtId="0" fontId="3" fillId="0" borderId="1" xfId="0" applyFont="1" applyFill="1" applyBorder="1" applyAlignment="1">
      <alignment vertical="center" wrapText="1"/>
    </xf>
    <xf numFmtId="0" fontId="4" fillId="12" borderId="2" xfId="0" applyFont="1" applyFill="1" applyBorder="1"/>
    <xf numFmtId="167" fontId="4" fillId="12" borderId="2" xfId="0" applyNumberFormat="1" applyFont="1" applyFill="1" applyBorder="1"/>
    <xf numFmtId="167" fontId="0" fillId="0" borderId="0" xfId="0" applyNumberFormat="1"/>
    <xf numFmtId="0" fontId="4" fillId="12" borderId="2" xfId="0" applyFont="1" applyFill="1" applyBorder="1" applyAlignment="1">
      <alignment horizontal="center"/>
    </xf>
    <xf numFmtId="164" fontId="0" fillId="0" borderId="2" xfId="0" applyNumberFormat="1" applyBorder="1"/>
    <xf numFmtId="164" fontId="4" fillId="12" borderId="2" xfId="0" applyNumberFormat="1" applyFont="1" applyFill="1" applyBorder="1"/>
    <xf numFmtId="0" fontId="18" fillId="12" borderId="12" xfId="0" applyFont="1" applyFill="1" applyBorder="1"/>
    <xf numFmtId="0" fontId="18" fillId="12" borderId="3" xfId="0" applyFont="1" applyFill="1" applyBorder="1"/>
    <xf numFmtId="0" fontId="19" fillId="0" borderId="2" xfId="0" applyFont="1" applyBorder="1" applyAlignment="1">
      <alignment wrapText="1"/>
    </xf>
    <xf numFmtId="0" fontId="0" fillId="0" borderId="2" xfId="0" applyFont="1" applyBorder="1" applyAlignment="1">
      <alignment horizontal="left"/>
    </xf>
    <xf numFmtId="0" fontId="20" fillId="0" borderId="0" xfId="0" applyFont="1" applyBorder="1" applyAlignment="1">
      <alignment wrapText="1"/>
    </xf>
    <xf numFmtId="0" fontId="4" fillId="0" borderId="0" xfId="0" applyFont="1"/>
    <xf numFmtId="0" fontId="0" fillId="0" borderId="0" xfId="0" applyAlignment="1">
      <alignment horizontal="center"/>
    </xf>
    <xf numFmtId="0" fontId="3" fillId="0" borderId="0" xfId="0" applyFont="1"/>
    <xf numFmtId="0" fontId="4" fillId="13" borderId="2" xfId="0" applyFont="1" applyFill="1" applyBorder="1" applyAlignment="1">
      <alignment horizontal="center" vertical="center" wrapText="1"/>
    </xf>
    <xf numFmtId="0" fontId="0" fillId="0" borderId="2" xfId="0" applyFont="1" applyFill="1" applyBorder="1" applyAlignment="1">
      <alignment horizontal="justify" vertical="center" wrapText="1"/>
    </xf>
    <xf numFmtId="3" fontId="0" fillId="0" borderId="2" xfId="0" applyNumberFormat="1" applyFont="1" applyFill="1" applyBorder="1" applyAlignment="1">
      <alignment horizontal="center" vertical="center" wrapText="1"/>
    </xf>
    <xf numFmtId="10" fontId="4" fillId="0" borderId="2" xfId="34" applyNumberFormat="1" applyFont="1" applyFill="1" applyBorder="1" applyAlignment="1" applyProtection="1">
      <alignment horizontal="center" vertical="center" wrapText="1"/>
    </xf>
    <xf numFmtId="166" fontId="0" fillId="0" borderId="2" xfId="0" applyNumberFormat="1" applyFont="1" applyFill="1" applyBorder="1" applyAlignment="1">
      <alignment horizontal="center" vertical="center" wrapText="1"/>
    </xf>
    <xf numFmtId="3" fontId="4" fillId="0" borderId="2" xfId="34" applyNumberFormat="1" applyFont="1" applyFill="1" applyBorder="1" applyAlignment="1" applyProtection="1">
      <alignment horizontal="center" vertical="center" wrapText="1"/>
    </xf>
    <xf numFmtId="10" fontId="0" fillId="0" borderId="0" xfId="0" applyNumberFormat="1"/>
    <xf numFmtId="9"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xf>
    <xf numFmtId="0" fontId="0" fillId="0" borderId="2" xfId="0" applyFont="1" applyFill="1" applyBorder="1"/>
    <xf numFmtId="0" fontId="9" fillId="0" borderId="2" xfId="0" applyFont="1" applyFill="1" applyBorder="1" applyAlignment="1">
      <alignment horizontal="center" vertical="center" wrapText="1"/>
    </xf>
    <xf numFmtId="9" fontId="4" fillId="0" borderId="2" xfId="34" applyFont="1" applyFill="1" applyBorder="1" applyAlignment="1" applyProtection="1">
      <alignment horizontal="center" vertical="center" wrapText="1"/>
    </xf>
    <xf numFmtId="0" fontId="0" fillId="0" borderId="0" xfId="0" applyAlignment="1">
      <alignment horizontal="justify"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Fill="1"/>
    <xf numFmtId="0" fontId="11" fillId="0" borderId="13" xfId="0" applyFont="1" applyBorder="1" applyAlignment="1">
      <alignment horizontal="center" vertical="center" wrapText="1"/>
    </xf>
    <xf numFmtId="9" fontId="11" fillId="0" borderId="13" xfId="34" applyFont="1" applyBorder="1" applyAlignment="1">
      <alignment horizontal="center" vertical="center" wrapText="1"/>
    </xf>
    <xf numFmtId="1" fontId="11" fillId="0" borderId="13" xfId="0" applyNumberFormat="1" applyFont="1" applyBorder="1" applyAlignment="1">
      <alignment horizontal="center" vertical="center" wrapText="1"/>
    </xf>
    <xf numFmtId="0" fontId="32" fillId="0" borderId="0" xfId="0" applyFont="1" applyAlignment="1">
      <alignment horizontal="center" vertical="center" wrapText="1"/>
    </xf>
    <xf numFmtId="169" fontId="3" fillId="14" borderId="14" xfId="15" applyNumberFormat="1" applyFont="1" applyFill="1" applyBorder="1" applyAlignment="1">
      <alignment vertical="center" wrapText="1"/>
    </xf>
    <xf numFmtId="4" fontId="4" fillId="2" borderId="2" xfId="0" applyNumberFormat="1" applyFont="1" applyFill="1" applyBorder="1" applyAlignment="1">
      <alignment horizontal="center" vertical="center" wrapText="1"/>
    </xf>
    <xf numFmtId="169" fontId="25" fillId="0" borderId="15" xfId="15" applyNumberFormat="1" applyFont="1" applyBorder="1" applyAlignment="1">
      <alignment vertical="center" wrapText="1"/>
    </xf>
    <xf numFmtId="9" fontId="1" fillId="9" borderId="2" xfId="30" applyFill="1" applyBorder="1" applyAlignment="1">
      <alignment horizontal="center" vertical="center" wrapText="1"/>
    </xf>
    <xf numFmtId="0" fontId="8" fillId="0" borderId="3" xfId="0" applyFont="1" applyBorder="1" applyAlignment="1">
      <alignment horizontal="center" vertical="center" wrapText="1"/>
    </xf>
    <xf numFmtId="169" fontId="0" fillId="0" borderId="14" xfId="0" applyNumberFormat="1" applyFont="1" applyBorder="1" applyAlignment="1">
      <alignment horizontal="center" vertical="center" wrapText="1"/>
    </xf>
    <xf numFmtId="169" fontId="3" fillId="0" borderId="14" xfId="15" applyNumberFormat="1" applyFont="1" applyBorder="1" applyAlignment="1">
      <alignment horizontal="center" vertical="center" wrapText="1"/>
    </xf>
    <xf numFmtId="169" fontId="3" fillId="0" borderId="15" xfId="15" applyNumberFormat="1" applyFont="1" applyBorder="1" applyAlignment="1">
      <alignment horizontal="center" vertical="center" wrapText="1"/>
    </xf>
    <xf numFmtId="174" fontId="4" fillId="2" borderId="2" xfId="0" applyNumberFormat="1" applyFont="1" applyFill="1" applyBorder="1" applyAlignment="1">
      <alignment horizontal="center" vertical="center" wrapText="1"/>
    </xf>
    <xf numFmtId="9" fontId="29" fillId="2" borderId="2" xfId="30" applyFont="1" applyFill="1" applyBorder="1" applyAlignment="1">
      <alignment horizontal="center" vertical="center" wrapText="1"/>
    </xf>
    <xf numFmtId="10" fontId="32" fillId="0" borderId="0" xfId="0" applyNumberFormat="1" applyFont="1" applyFill="1" applyAlignment="1">
      <alignment horizontal="center" vertical="center" wrapText="1"/>
    </xf>
    <xf numFmtId="174" fontId="4" fillId="5" borderId="2" xfId="0" applyNumberFormat="1" applyFont="1" applyFill="1" applyBorder="1" applyAlignment="1">
      <alignment horizontal="center" vertical="center" wrapText="1"/>
    </xf>
    <xf numFmtId="9" fontId="1" fillId="0" borderId="2" xfId="30" applyBorder="1" applyAlignment="1">
      <alignment horizontal="center" vertical="center" wrapText="1"/>
    </xf>
    <xf numFmtId="10" fontId="1" fillId="0" borderId="2" xfId="30" applyNumberFormat="1" applyBorder="1" applyAlignment="1">
      <alignment horizontal="center" vertical="center" wrapText="1"/>
    </xf>
    <xf numFmtId="10" fontId="0" fillId="0" borderId="2" xfId="0" applyNumberFormat="1" applyFont="1" applyFill="1" applyBorder="1" applyAlignment="1">
      <alignment horizontal="center" vertical="center" wrapText="1"/>
    </xf>
    <xf numFmtId="9" fontId="29" fillId="6" borderId="2" xfId="30" applyFont="1" applyFill="1" applyBorder="1" applyAlignment="1">
      <alignment horizontal="center"/>
    </xf>
    <xf numFmtId="0" fontId="8" fillId="0" borderId="2"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0" fillId="13" borderId="2" xfId="0" applyFill="1" applyBorder="1"/>
    <xf numFmtId="0" fontId="0" fillId="2" borderId="2" xfId="0" applyFill="1" applyBorder="1"/>
    <xf numFmtId="0" fontId="6" fillId="2"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0" xfId="0" applyFill="1" applyBorder="1"/>
    <xf numFmtId="0" fontId="6" fillId="0" borderId="2"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2" borderId="16" xfId="13" applyFont="1" applyFill="1" applyBorder="1" applyAlignment="1">
      <alignment horizontal="center" vertical="center" wrapText="1"/>
    </xf>
    <xf numFmtId="0" fontId="6" fillId="2" borderId="3" xfId="13"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0" borderId="14" xfId="0" applyFont="1" applyFill="1" applyBorder="1" applyAlignment="1">
      <alignment horizontal="justify" vertical="center" wrapText="1"/>
    </xf>
    <xf numFmtId="0" fontId="6" fillId="2" borderId="3"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ill="1" applyBorder="1"/>
    <xf numFmtId="0" fontId="12" fillId="3"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10" fontId="8" fillId="0" borderId="2" xfId="0" applyNumberFormat="1" applyFont="1" applyFill="1" applyBorder="1" applyAlignment="1">
      <alignment horizontal="center" vertical="center" wrapText="1"/>
    </xf>
    <xf numFmtId="10" fontId="0" fillId="0" borderId="2" xfId="0" applyNumberFormat="1" applyFill="1" applyBorder="1" applyAlignment="1">
      <alignment horizontal="center" vertical="center"/>
    </xf>
    <xf numFmtId="10" fontId="6" fillId="0" borderId="2" xfId="0" applyNumberFormat="1" applyFont="1" applyFill="1" applyBorder="1" applyAlignment="1">
      <alignment horizontal="center" vertical="center" wrapText="1"/>
    </xf>
    <xf numFmtId="10" fontId="8" fillId="0" borderId="2" xfId="4"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10" fontId="8" fillId="0" borderId="12" xfId="4" applyNumberFormat="1" applyFont="1" applyFill="1" applyBorder="1" applyAlignment="1">
      <alignment horizontal="center" vertical="center" wrapText="1"/>
    </xf>
    <xf numFmtId="10" fontId="8" fillId="0" borderId="3" xfId="4" applyNumberFormat="1" applyFont="1" applyFill="1" applyBorder="1" applyAlignment="1">
      <alignment horizontal="center" vertical="center" wrapText="1"/>
    </xf>
    <xf numFmtId="0" fontId="8" fillId="3" borderId="2" xfId="0" applyFont="1" applyFill="1" applyBorder="1" applyAlignment="1">
      <alignment horizontal="justify" vertical="center" wrapText="1"/>
    </xf>
    <xf numFmtId="2" fontId="8" fillId="0" borderId="2" xfId="4" applyNumberFormat="1" applyFont="1" applyFill="1" applyBorder="1" applyAlignment="1">
      <alignment horizontal="center" vertical="center" wrapText="1"/>
    </xf>
    <xf numFmtId="0" fontId="8" fillId="0" borderId="2" xfId="4" applyNumberFormat="1" applyFont="1" applyFill="1" applyBorder="1" applyAlignment="1">
      <alignment horizontal="center" vertical="center" wrapText="1"/>
    </xf>
    <xf numFmtId="3" fontId="8" fillId="0" borderId="2" xfId="4" applyNumberFormat="1" applyFont="1" applyFill="1" applyBorder="1" applyAlignment="1">
      <alignment horizontal="center" vertical="center" wrapText="1"/>
    </xf>
    <xf numFmtId="4" fontId="8" fillId="0" borderId="2" xfId="4"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 xfId="0" applyFill="1" applyBorder="1" applyAlignment="1">
      <alignment horizontal="right" vertical="center"/>
    </xf>
    <xf numFmtId="167" fontId="0" fillId="0" borderId="2" xfId="0" applyNumberFormat="1" applyFill="1" applyBorder="1" applyAlignment="1">
      <alignment horizontal="center" vertical="center"/>
    </xf>
    <xf numFmtId="167" fontId="0" fillId="0" borderId="2" xfId="0" applyNumberFormat="1" applyFill="1" applyBorder="1" applyAlignment="1">
      <alignment horizontal="right" vertical="center"/>
    </xf>
    <xf numFmtId="167" fontId="0" fillId="0" borderId="2" xfId="0" applyNumberFormat="1" applyFill="1" applyBorder="1" applyAlignment="1">
      <alignment horizontal="right" vertical="center" wrapText="1"/>
    </xf>
    <xf numFmtId="0" fontId="0" fillId="0" borderId="2" xfId="0" applyFont="1" applyFill="1" applyBorder="1" applyAlignment="1">
      <alignment horizontal="center" vertical="center"/>
    </xf>
    <xf numFmtId="0" fontId="4" fillId="12"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22" fillId="0" borderId="2" xfId="0" applyFont="1" applyFill="1" applyBorder="1" applyAlignment="1">
      <alignment horizontal="center" vertical="center"/>
    </xf>
    <xf numFmtId="0" fontId="6" fillId="4" borderId="2" xfId="0" applyFont="1" applyFill="1" applyBorder="1" applyAlignment="1">
      <alignment horizontal="center" vertical="center"/>
    </xf>
    <xf numFmtId="0" fontId="7" fillId="0" borderId="2" xfId="0" applyFont="1" applyFill="1" applyBorder="1" applyAlignment="1">
      <alignment horizontal="justify" vertical="center" wrapText="1"/>
    </xf>
    <xf numFmtId="0" fontId="0" fillId="0" borderId="2" xfId="0" applyFill="1" applyBorder="1" applyAlignment="1">
      <alignment horizontal="center" vertical="center"/>
    </xf>
    <xf numFmtId="169" fontId="3" fillId="14" borderId="17" xfId="24" applyNumberFormat="1" applyFont="1" applyFill="1" applyBorder="1" applyAlignment="1">
      <alignment horizontal="center" vertical="center" wrapText="1"/>
    </xf>
    <xf numFmtId="169" fontId="3" fillId="14" borderId="18" xfId="24"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169" fontId="0" fillId="14" borderId="21" xfId="0" applyNumberFormat="1" applyFont="1" applyFill="1" applyBorder="1" applyAlignment="1">
      <alignment horizontal="center" vertical="center" wrapText="1"/>
    </xf>
    <xf numFmtId="169" fontId="0" fillId="14" borderId="8" xfId="0" applyNumberFormat="1" applyFont="1" applyFill="1" applyBorder="1" applyAlignment="1">
      <alignment horizontal="center" vertical="center" wrapText="1"/>
    </xf>
    <xf numFmtId="169" fontId="0" fillId="14" borderId="11" xfId="0" applyNumberFormat="1" applyFont="1" applyFill="1" applyBorder="1" applyAlignment="1">
      <alignment horizontal="center" vertical="center" wrapText="1"/>
    </xf>
  </cellXfs>
  <cellStyles count="38">
    <cellStyle name="Categoría del Piloto de Datos" xfId="1"/>
    <cellStyle name="Heading" xfId="2"/>
    <cellStyle name="Heading1" xfId="3"/>
    <cellStyle name="Millares" xfId="4" builtinId="3"/>
    <cellStyle name="Millares 11" xfId="5"/>
    <cellStyle name="Millares 2" xfId="6"/>
    <cellStyle name="Millares 2 2" xfId="7"/>
    <cellStyle name="Millares 2 3" xfId="8"/>
    <cellStyle name="Millares 3" xfId="9"/>
    <cellStyle name="Moneda 2" xfId="10"/>
    <cellStyle name="Moneda 3" xfId="11"/>
    <cellStyle name="Moneda 4" xfId="12"/>
    <cellStyle name="Normal" xfId="0" builtinId="0"/>
    <cellStyle name="Normal 2" xfId="13"/>
    <cellStyle name="Normal 2 2" xfId="14"/>
    <cellStyle name="Normal 2 2 5" xfId="15"/>
    <cellStyle name="Normal 2 3" xfId="16"/>
    <cellStyle name="Normal 2 4" xfId="17"/>
    <cellStyle name="Normal 3" xfId="18"/>
    <cellStyle name="Normal 35 2" xfId="19"/>
    <cellStyle name="Normal 37 2" xfId="20"/>
    <cellStyle name="Normal 4" xfId="21"/>
    <cellStyle name="Normal 42 2" xfId="22"/>
    <cellStyle name="Normal 5" xfId="23"/>
    <cellStyle name="Normal 6" xfId="24"/>
    <cellStyle name="Piloto de Datos Ángulo" xfId="25"/>
    <cellStyle name="Piloto de Datos Campo" xfId="26"/>
    <cellStyle name="Piloto de Datos Resultado" xfId="27"/>
    <cellStyle name="Piloto de Datos Título" xfId="28"/>
    <cellStyle name="Piloto de Datos Valor" xfId="29"/>
    <cellStyle name="Porcentaje" xfId="30" builtinId="5"/>
    <cellStyle name="Porcentaje 2" xfId="31"/>
    <cellStyle name="Porcentaje 3" xfId="32"/>
    <cellStyle name="Porcentaje 4" xfId="33"/>
    <cellStyle name="Porcentual" xfId="34"/>
    <cellStyle name="Porcentual 2" xfId="35"/>
    <cellStyle name="Result" xfId="36"/>
    <cellStyle name="Result2" xfId="3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5000B"/>
      <rgbColor rgb="0000FF00"/>
      <rgbColor rgb="000000FF"/>
      <rgbColor rgb="00FFFF00"/>
      <rgbColor rgb="00FF00FF"/>
      <rgbColor rgb="0000FFFF"/>
      <rgbColor rgb="007E0021"/>
      <rgbColor rgb="00008000"/>
      <rgbColor rgb="00000080"/>
      <rgbColor rgb="00808000"/>
      <rgbColor rgb="00800080"/>
      <rgbColor rgb="00008080"/>
      <rgbColor rgb="00C0C0C0"/>
      <rgbColor rgb="00808080"/>
      <rgbColor rgb="0083CAFF"/>
      <rgbColor rgb="00993366"/>
      <rgbColor rgb="00FFFFCC"/>
      <rgbColor rgb="00CCFFFF"/>
      <rgbColor rgb="00660066"/>
      <rgbColor rgb="00FF8080"/>
      <rgbColor rgb="000066CC"/>
      <rgbColor rgb="00CCCCCC"/>
      <rgbColor rgb="00000080"/>
      <rgbColor rgb="00FF00FF"/>
      <rgbColor rgb="00AECF00"/>
      <rgbColor rgb="0000FFFF"/>
      <rgbColor rgb="00800080"/>
      <rgbColor rgb="00800000"/>
      <rgbColor rgb="00008080"/>
      <rgbColor rgb="000000FF"/>
      <rgbColor rgb="0000CCFF"/>
      <rgbColor rgb="00CCFFFF"/>
      <rgbColor rgb="00D9D9D9"/>
      <rgbColor rgb="00FFFF99"/>
      <rgbColor rgb="0099CCFF"/>
      <rgbColor rgb="00FF99CC"/>
      <rgbColor rgb="00B3B3B3"/>
      <rgbColor rgb="00FFCC99"/>
      <rgbColor rgb="003366FF"/>
      <rgbColor rgb="0033CCCC"/>
      <rgbColor rgb="0099CC00"/>
      <rgbColor rgb="00FFD320"/>
      <rgbColor rgb="00FF950E"/>
      <rgbColor rgb="00FF420E"/>
      <rgbColor rgb="00666699"/>
      <rgbColor rgb="00969696"/>
      <rgbColor rgb="00004586"/>
      <rgbColor rgb="00579D1C"/>
      <rgbColor rgb="00003300"/>
      <rgbColor rgb="00314004"/>
      <rgbColor rgb="00993300"/>
      <rgbColor rgb="00993366"/>
      <rgbColor rgb="004B1F6F"/>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MODIFICACIONES DEL PLAN DE ACCIÓN
Por Proyecto de Inversión 2016 - I</a:t>
            </a:r>
          </a:p>
        </c:rich>
      </c:tx>
      <c:layout>
        <c:manualLayout>
          <c:xMode val="edge"/>
          <c:yMode val="edge"/>
          <c:x val="0.2"/>
          <c:y val="2.197802197802198E-2"/>
        </c:manualLayout>
      </c:layout>
      <c:overlay val="0"/>
      <c:spPr>
        <a:noFill/>
        <a:ln w="25400">
          <a:noFill/>
        </a:ln>
      </c:spPr>
    </c:title>
    <c:autoTitleDeleted val="0"/>
    <c:plotArea>
      <c:layout>
        <c:manualLayout>
          <c:layoutTarget val="inner"/>
          <c:xMode val="edge"/>
          <c:yMode val="edge"/>
          <c:x val="0.15949367088607594"/>
          <c:y val="0.25274759179096168"/>
          <c:w val="0.8025316455696202"/>
          <c:h val="0.57692385082719511"/>
        </c:manualLayout>
      </c:layout>
      <c:barChart>
        <c:barDir val="col"/>
        <c:grouping val="clustered"/>
        <c:varyColors val="0"/>
        <c:ser>
          <c:idx val="0"/>
          <c:order val="0"/>
          <c:spPr>
            <a:solidFill>
              <a:srgbClr val="004586"/>
            </a:solidFill>
            <a:ln w="25400">
              <a:noFill/>
            </a:ln>
          </c:spPr>
          <c:invertIfNegative val="0"/>
          <c:dLbls>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'DEI01-Plan Acción 2017'!#REF!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'DEI01-Plan Acción 2017'!#REF!</c15:sqref>
                        </c15:formulaRef>
                      </c:ext>
                    </c:extLst>
                  </c:strRef>
                </c15:cat>
              </c15:filteredCategoryTitle>
            </c:ext>
            <c:ext xmlns:c16="http://schemas.microsoft.com/office/drawing/2014/chart" uri="{C3380CC4-5D6E-409C-BE32-E72D297353CC}">
              <c16:uniqueId val="{00000000-4281-4B73-AB64-6AE9EF3AC5D4}"/>
            </c:ext>
          </c:extLst>
        </c:ser>
        <c:dLbls>
          <c:showLegendKey val="0"/>
          <c:showVal val="0"/>
          <c:showCatName val="0"/>
          <c:showSerName val="0"/>
          <c:showPercent val="0"/>
          <c:showBubbleSize val="0"/>
        </c:dLbls>
        <c:gapWidth val="150"/>
        <c:axId val="279040040"/>
        <c:axId val="1"/>
      </c:barChart>
      <c:catAx>
        <c:axId val="279040040"/>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es-CO"/>
                  <a:t>No. Modificaciones</a:t>
                </a:r>
              </a:p>
            </c:rich>
          </c:tx>
          <c:layout>
            <c:manualLayout>
              <c:xMode val="edge"/>
              <c:yMode val="edge"/>
              <c:x val="3.7974527993161165E-2"/>
              <c:y val="0.3928577197081134"/>
            </c:manualLayout>
          </c:layout>
          <c:overlay val="0"/>
          <c:spPr>
            <a:noFill/>
            <a:ln w="25400">
              <a:noFill/>
            </a:ln>
          </c:spPr>
        </c:title>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040040"/>
        <c:crossesAt val="1"/>
        <c:crossBetween val="between"/>
      </c:valAx>
      <c:spPr>
        <a:noFill/>
        <a:ln w="12700">
          <a:solidFill>
            <a:srgbClr val="C0C0C0"/>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0000000000000007E-2"/>
          <c:y val="0.25964010282776351"/>
          <c:w val="0.89800000000000002"/>
          <c:h val="0.45244215938303339"/>
        </c:manualLayout>
      </c:layout>
      <c:bar3DChart>
        <c:barDir val="col"/>
        <c:grouping val="clustered"/>
        <c:varyColors val="0"/>
        <c:ser>
          <c:idx val="0"/>
          <c:order val="0"/>
          <c:spPr>
            <a:solidFill>
              <a:srgbClr val="004586"/>
            </a:solidFill>
            <a:ln w="25400">
              <a:noFill/>
            </a:ln>
          </c:spPr>
          <c:invertIfNegative val="0"/>
          <c:val>
            <c:numRef>
              <c:f>'Avance Acumulado Metas PDD'!$F$51:$L$51</c:f>
              <c:numCache>
                <c:formatCode>General</c:formatCode>
                <c:ptCount val="7"/>
              </c:numCache>
            </c:numRef>
          </c:val>
          <c:extLst>
            <c:ext xmlns:c16="http://schemas.microsoft.com/office/drawing/2014/chart" uri="{C3380CC4-5D6E-409C-BE32-E72D297353CC}">
              <c16:uniqueId val="{00000000-7B75-43F1-8877-62D9929DD7D9}"/>
            </c:ext>
          </c:extLst>
        </c:ser>
        <c:dLbls>
          <c:showLegendKey val="0"/>
          <c:showVal val="0"/>
          <c:showCatName val="0"/>
          <c:showSerName val="0"/>
          <c:showPercent val="0"/>
          <c:showBubbleSize val="0"/>
        </c:dLbls>
        <c:gapWidth val="150"/>
        <c:shape val="box"/>
        <c:axId val="265112768"/>
        <c:axId val="1"/>
        <c:axId val="0"/>
      </c:bar3DChart>
      <c:catAx>
        <c:axId val="265112768"/>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2800000000000001"/>
              <c:y val="0.77892017424523508"/>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65112768"/>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40783152758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0000000000000007E-2"/>
          <c:y val="0.25964010282776351"/>
          <c:w val="0.89800000000000002"/>
          <c:h val="0.45244215938303339"/>
        </c:manualLayout>
      </c:layout>
      <c:bar3DChart>
        <c:barDir val="col"/>
        <c:grouping val="clustered"/>
        <c:varyColors val="0"/>
        <c:ser>
          <c:idx val="0"/>
          <c:order val="0"/>
          <c:spPr>
            <a:solidFill>
              <a:srgbClr val="004586"/>
            </a:solidFill>
            <a:ln w="25400">
              <a:noFill/>
            </a:ln>
          </c:spPr>
          <c:invertIfNegative val="0"/>
          <c:val>
            <c:numRef>
              <c:f>'Seguim Avance % Metas PDD'!$F$51:$L$51</c:f>
              <c:numCache>
                <c:formatCode>General</c:formatCode>
                <c:ptCount val="7"/>
              </c:numCache>
            </c:numRef>
          </c:val>
          <c:extLst>
            <c:ext xmlns:c16="http://schemas.microsoft.com/office/drawing/2014/chart" uri="{C3380CC4-5D6E-409C-BE32-E72D297353CC}">
              <c16:uniqueId val="{00000000-BAA5-4639-BAC9-B66CFABB819F}"/>
            </c:ext>
          </c:extLst>
        </c:ser>
        <c:dLbls>
          <c:showLegendKey val="0"/>
          <c:showVal val="0"/>
          <c:showCatName val="0"/>
          <c:showSerName val="0"/>
          <c:showPercent val="0"/>
          <c:showBubbleSize val="0"/>
        </c:dLbls>
        <c:gapWidth val="150"/>
        <c:shape val="box"/>
        <c:axId val="279841640"/>
        <c:axId val="1"/>
        <c:axId val="0"/>
      </c:bar3DChart>
      <c:catAx>
        <c:axId val="279841640"/>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2800000000000001"/>
              <c:y val="0.77892038952050047"/>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841640"/>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534992125984252"/>
          <c:y val="2.0512736169075469E-2"/>
        </c:manualLayout>
      </c:layout>
      <c:overlay val="0"/>
      <c:spPr>
        <a:noFill/>
        <a:ln w="25400">
          <a:noFill/>
        </a:ln>
      </c:spPr>
    </c:title>
    <c:autoTitleDeleted val="0"/>
    <c:plotArea>
      <c:layout>
        <c:manualLayout>
          <c:layoutTarget val="inner"/>
          <c:xMode val="edge"/>
          <c:yMode val="edge"/>
          <c:x val="3.5928213744802866E-2"/>
          <c:y val="0.25897500744943774"/>
          <c:w val="0.92415349799131807"/>
          <c:h val="0.62820670123873512"/>
        </c:manualLayout>
      </c:layout>
      <c:barChart>
        <c:barDir val="col"/>
        <c:grouping val="clustered"/>
        <c:varyColors val="0"/>
        <c:dLbls>
          <c:showLegendKey val="0"/>
          <c:showVal val="0"/>
          <c:showCatName val="0"/>
          <c:showSerName val="0"/>
          <c:showPercent val="0"/>
          <c:showBubbleSize val="0"/>
        </c:dLbls>
        <c:gapWidth val="150"/>
        <c:axId val="279402304"/>
        <c:axId val="1"/>
      </c:barChart>
      <c:catAx>
        <c:axId val="2794023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402304"/>
        <c:crosses val="autoZero"/>
        <c:crossBetween val="between"/>
      </c:valAx>
      <c:spPr>
        <a:solidFill>
          <a:srgbClr val="D9D9D9"/>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s-CO"/>
              <a:t>Avance Acumulado 
Por Proyectos de Inversión </a:t>
            </a:r>
          </a:p>
        </c:rich>
      </c:tx>
      <c:layout>
        <c:manualLayout>
          <c:xMode val="edge"/>
          <c:yMode val="edge"/>
          <c:x val="0.32286272782335773"/>
          <c:y val="3.5502958579881658E-2"/>
        </c:manualLayout>
      </c:layout>
      <c:overlay val="0"/>
      <c:spPr>
        <a:noFill/>
        <a:ln w="25400">
          <a:noFill/>
        </a:ln>
      </c:spPr>
    </c:title>
    <c:autoTitleDeleted val="0"/>
    <c:plotArea>
      <c:layout>
        <c:manualLayout>
          <c:layoutTarget val="inner"/>
          <c:xMode val="edge"/>
          <c:yMode val="edge"/>
          <c:x val="0.17626557091509004"/>
          <c:y val="0.26923076923076922"/>
          <c:w val="0.79930328197139844"/>
          <c:h val="0.52958579881656809"/>
        </c:manualLayout>
      </c:layout>
      <c:barChart>
        <c:barDir val="col"/>
        <c:grouping val="clustered"/>
        <c:varyColors val="0"/>
        <c:ser>
          <c:idx val="0"/>
          <c:order val="0"/>
          <c:spPr>
            <a:solidFill>
              <a:srgbClr val="004586"/>
            </a:solidFill>
            <a:ln w="25400">
              <a:noFill/>
            </a:ln>
          </c:spPr>
          <c:invertIfNegative val="0"/>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'DEI02-Ava Plan Plurianual BMpT'!$N$20:$N$29</c:f>
              <c:strCache>
                <c:ptCount val="10"/>
                <c:pt idx="0">
                  <c:v>982</c:v>
                </c:pt>
                <c:pt idx="1">
                  <c:v>985</c:v>
                </c:pt>
                <c:pt idx="2">
                  <c:v>993</c:v>
                </c:pt>
                <c:pt idx="3">
                  <c:v>996</c:v>
                </c:pt>
                <c:pt idx="4">
                  <c:v>998</c:v>
                </c:pt>
                <c:pt idx="5">
                  <c:v>999</c:v>
                </c:pt>
                <c:pt idx="6">
                  <c:v>1000</c:v>
                </c:pt>
                <c:pt idx="7">
                  <c:v>1010</c:v>
                </c:pt>
                <c:pt idx="8">
                  <c:v>1017</c:v>
                </c:pt>
                <c:pt idx="9">
                  <c:v>POND</c:v>
                </c:pt>
              </c:strCache>
            </c:strRef>
          </c:cat>
          <c:val>
            <c:numRef>
              <c:f>'DEI02-Ava Plan Plurianual BMpT'!$O$20:$O$29</c:f>
              <c:numCache>
                <c:formatCode>0.00%</c:formatCode>
                <c:ptCount val="10"/>
                <c:pt idx="0">
                  <c:v>0.47748014705882352</c:v>
                </c:pt>
                <c:pt idx="1">
                  <c:v>9.2635135135135133E-2</c:v>
                </c:pt>
                <c:pt idx="2">
                  <c:v>0.61741372903225811</c:v>
                </c:pt>
                <c:pt idx="3">
                  <c:v>0.18123171809009378</c:v>
                </c:pt>
                <c:pt idx="4">
                  <c:v>0.80502514256854252</c:v>
                </c:pt>
                <c:pt idx="5">
                  <c:v>0.28183482255639097</c:v>
                </c:pt>
                <c:pt idx="6">
                  <c:v>0.31603076923076923</c:v>
                </c:pt>
                <c:pt idx="7">
                  <c:v>0.62339999999999995</c:v>
                </c:pt>
                <c:pt idx="8">
                  <c:v>0.20779786476417597</c:v>
                </c:pt>
                <c:pt idx="9">
                  <c:v>0.40031659204846548</c:v>
                </c:pt>
              </c:numCache>
            </c:numRef>
          </c:val>
          <c:extLst>
            <c:ext xmlns:c16="http://schemas.microsoft.com/office/drawing/2014/chart" uri="{C3380CC4-5D6E-409C-BE32-E72D297353CC}">
              <c16:uniqueId val="{00000000-CD80-4EA7-93D6-C0185575319C}"/>
            </c:ext>
          </c:extLst>
        </c:ser>
        <c:dLbls>
          <c:showLegendKey val="0"/>
          <c:showVal val="0"/>
          <c:showCatName val="0"/>
          <c:showSerName val="0"/>
          <c:showPercent val="0"/>
          <c:showBubbleSize val="0"/>
        </c:dLbls>
        <c:gapWidth val="100"/>
        <c:axId val="279404600"/>
        <c:axId val="1"/>
      </c:barChart>
      <c:catAx>
        <c:axId val="279404600"/>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s-CO"/>
                  <a:t>Proyectos de Inversión</a:t>
                </a:r>
              </a:p>
            </c:rich>
          </c:tx>
          <c:layout>
            <c:manualLayout>
              <c:xMode val="edge"/>
              <c:yMode val="edge"/>
              <c:x val="0.46422425343685186"/>
              <c:y val="0.89053254437869822"/>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es-CO"/>
                  <a:t>% de Avance</a:t>
                </a:r>
              </a:p>
            </c:rich>
          </c:tx>
          <c:layout>
            <c:manualLayout>
              <c:xMode val="edge"/>
              <c:yMode val="edge"/>
              <c:x val="2.7923205403520366E-2"/>
              <c:y val="0.42307692307692307"/>
            </c:manualLayout>
          </c:layout>
          <c:overlay val="0"/>
          <c:spPr>
            <a:noFill/>
            <a:ln w="25400">
              <a:noFill/>
            </a:ln>
          </c:spPr>
        </c:title>
        <c:numFmt formatCode="0.0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404600"/>
        <c:crosses val="autoZero"/>
        <c:crossBetween val="between"/>
      </c:valAx>
      <c:spPr>
        <a:noFill/>
        <a:ln w="3175">
          <a:solidFill>
            <a:srgbClr val="B3B3B3"/>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CONSUM O DE AGUA DE LA ENTIDAD
sub-title</a:t>
            </a:r>
          </a:p>
        </c:rich>
      </c:tx>
      <c:layout>
        <c:manualLayout>
          <c:xMode val="edge"/>
          <c:yMode val="edge"/>
          <c:x val="0.18444491105278507"/>
          <c:y val="2.3460386035816322E-2"/>
        </c:manualLayout>
      </c:layout>
      <c:overlay val="0"/>
      <c:spPr>
        <a:noFill/>
        <a:ln w="25400">
          <a:noFill/>
        </a:ln>
      </c:spPr>
    </c:title>
    <c:autoTitleDeleted val="0"/>
    <c:plotArea>
      <c:layout>
        <c:manualLayout>
          <c:layoutTarget val="inner"/>
          <c:xMode val="edge"/>
          <c:yMode val="edge"/>
          <c:x val="0.16888925540202995"/>
          <c:y val="0.29618768328445749"/>
          <c:w val="0.79333505498058809"/>
          <c:h val="0.51906158357771259"/>
        </c:manualLayout>
      </c:layout>
      <c:barChart>
        <c:barDir val="col"/>
        <c:grouping val="clustered"/>
        <c:varyColors val="0"/>
        <c:ser>
          <c:idx val="0"/>
          <c:order val="0"/>
          <c:spPr>
            <a:solidFill>
              <a:srgbClr val="004586"/>
            </a:solidFill>
            <a:ln w="25400">
              <a:noFill/>
            </a:ln>
          </c:spPr>
          <c:invertIfNegative val="0"/>
          <c:val>
            <c:numRef>
              <c:f>'PIGA - Seguimiento'!$D$18:$O$18</c:f>
              <c:numCache>
                <c:formatCode>General</c:formatCode>
                <c:ptCount val="12"/>
                <c:pt idx="0">
                  <c:v>1241</c:v>
                </c:pt>
                <c:pt idx="1">
                  <c:v>0</c:v>
                </c:pt>
                <c:pt idx="2">
                  <c:v>1297</c:v>
                </c:pt>
                <c:pt idx="3">
                  <c:v>0</c:v>
                </c:pt>
                <c:pt idx="4">
                  <c:v>1244</c:v>
                </c:pt>
                <c:pt idx="5">
                  <c:v>0</c:v>
                </c:pt>
                <c:pt idx="6">
                  <c:v>1581</c:v>
                </c:pt>
                <c:pt idx="7">
                  <c:v>0</c:v>
                </c:pt>
                <c:pt idx="8">
                  <c:v>1464</c:v>
                </c:pt>
                <c:pt idx="9">
                  <c:v>0</c:v>
                </c:pt>
                <c:pt idx="10">
                  <c:v>1388</c:v>
                </c:pt>
                <c:pt idx="11">
                  <c:v>0</c:v>
                </c:pt>
              </c:numCache>
            </c:numRef>
          </c:val>
          <c:extLst>
            <c:ext xmlns:c16="http://schemas.microsoft.com/office/drawing/2014/chart" uri="{C3380CC4-5D6E-409C-BE32-E72D297353CC}">
              <c16:uniqueId val="{00000000-69A2-4119-8998-B745ED61BD0D}"/>
            </c:ext>
          </c:extLst>
        </c:ser>
        <c:dLbls>
          <c:showLegendKey val="0"/>
          <c:showVal val="0"/>
          <c:showCatName val="0"/>
          <c:showSerName val="0"/>
          <c:showPercent val="0"/>
          <c:showBubbleSize val="0"/>
        </c:dLbls>
        <c:gapWidth val="150"/>
        <c:axId val="279677224"/>
        <c:axId val="1"/>
      </c:barChart>
      <c:catAx>
        <c:axId val="279677224"/>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Nov- Dic Ene- Feb Mar-Abr May-Jun Jul-Ago Sep-Oct</a:t>
                </a:r>
              </a:p>
            </c:rich>
          </c:tx>
          <c:layout>
            <c:manualLayout>
              <c:xMode val="edge"/>
              <c:yMode val="edge"/>
              <c:x val="0.2577782443861184"/>
              <c:y val="0.90615845585673471"/>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es-CO"/>
                  <a:t>Metros cúbicos</a:t>
                </a:r>
              </a:p>
            </c:rich>
          </c:tx>
          <c:layout>
            <c:manualLayout>
              <c:xMode val="edge"/>
              <c:yMode val="edge"/>
              <c:x val="3.111111111111111E-2"/>
              <c:y val="0.42815258712130011"/>
            </c:manualLayout>
          </c:layout>
          <c:overlay val="0"/>
          <c:spPr>
            <a:noFill/>
            <a:ln w="25400">
              <a:noFill/>
            </a:ln>
          </c:spPr>
        </c:title>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677224"/>
        <c:crosses val="autoZero"/>
        <c:crossBetween val="between"/>
      </c:valAx>
      <c:spPr>
        <a:noFill/>
        <a:ln w="12700">
          <a:solidFill>
            <a:srgbClr val="C0C0C0"/>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CONSUMO DE ENERGÍA ENTIDAD
sub-title</a:t>
            </a:r>
          </a:p>
        </c:rich>
      </c:tx>
      <c:layout>
        <c:manualLayout>
          <c:xMode val="edge"/>
          <c:yMode val="edge"/>
          <c:x val="0.20649651972157773"/>
          <c:y val="2.3529484849896722E-2"/>
        </c:manualLayout>
      </c:layout>
      <c:overlay val="0"/>
      <c:spPr>
        <a:noFill/>
        <a:ln w="25400">
          <a:noFill/>
        </a:ln>
      </c:spPr>
    </c:title>
    <c:autoTitleDeleted val="0"/>
    <c:view3D>
      <c:rotX val="18"/>
      <c:hPercent val="54"/>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0.23433874709976799"/>
          <c:y val="0.30882397292045743"/>
          <c:w val="0.72389791183294661"/>
          <c:h val="0.40000057444935438"/>
        </c:manualLayout>
      </c:layout>
      <c:bar3DChart>
        <c:barDir val="col"/>
        <c:grouping val="clustered"/>
        <c:varyColors val="0"/>
        <c:ser>
          <c:idx val="0"/>
          <c:order val="0"/>
          <c:spPr>
            <a:solidFill>
              <a:srgbClr val="004586"/>
            </a:solidFill>
            <a:ln w="25400">
              <a:noFill/>
            </a:ln>
          </c:spPr>
          <c:invertIfNegative val="0"/>
          <c:val>
            <c:numRef>
              <c:f>'PIGA - Seguimiento'!$D$32:$O$32</c:f>
              <c:numCache>
                <c:formatCode>#,##0</c:formatCode>
                <c:ptCount val="12"/>
                <c:pt idx="0">
                  <c:v>48640</c:v>
                </c:pt>
                <c:pt idx="1">
                  <c:v>49333</c:v>
                </c:pt>
                <c:pt idx="2">
                  <c:v>50285</c:v>
                </c:pt>
                <c:pt idx="3">
                  <c:v>51410</c:v>
                </c:pt>
                <c:pt idx="4">
                  <c:v>50309</c:v>
                </c:pt>
                <c:pt idx="5">
                  <c:v>51487</c:v>
                </c:pt>
                <c:pt idx="6">
                  <c:v>49557</c:v>
                </c:pt>
                <c:pt idx="7">
                  <c:v>52205</c:v>
                </c:pt>
                <c:pt idx="8">
                  <c:v>51095</c:v>
                </c:pt>
                <c:pt idx="9">
                  <c:v>53477</c:v>
                </c:pt>
                <c:pt idx="10">
                  <c:v>56314</c:v>
                </c:pt>
                <c:pt idx="11">
                  <c:v>51288.4</c:v>
                </c:pt>
              </c:numCache>
            </c:numRef>
          </c:val>
          <c:extLst>
            <c:ext xmlns:c16="http://schemas.microsoft.com/office/drawing/2014/chart" uri="{C3380CC4-5D6E-409C-BE32-E72D297353CC}">
              <c16:uniqueId val="{00000000-C740-4D43-91DD-AA63A94A72D5}"/>
            </c:ext>
          </c:extLst>
        </c:ser>
        <c:dLbls>
          <c:showLegendKey val="0"/>
          <c:showVal val="0"/>
          <c:showCatName val="0"/>
          <c:showSerName val="0"/>
          <c:showPercent val="0"/>
          <c:showBubbleSize val="0"/>
        </c:dLbls>
        <c:gapWidth val="150"/>
        <c:shape val="box"/>
        <c:axId val="279679848"/>
        <c:axId val="1"/>
        <c:axId val="0"/>
      </c:bar3DChart>
      <c:catAx>
        <c:axId val="279679848"/>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 Feb Mar Abr May Jun Jul Ago Sep Oct Nov Oct Nov Dic</a:t>
                </a:r>
              </a:p>
            </c:rich>
          </c:tx>
          <c:layout>
            <c:manualLayout>
              <c:xMode val="edge"/>
              <c:yMode val="edge"/>
              <c:x val="0.32112927879374709"/>
              <c:y val="0.7852953144170588"/>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es-CO"/>
                  <a:t>KW</a:t>
                </a:r>
              </a:p>
            </c:rich>
          </c:tx>
          <c:layout>
            <c:manualLayout>
              <c:xMode val="edge"/>
              <c:yMode val="edge"/>
              <c:x val="0.15777262180974477"/>
              <c:y val="0.49117706440541087"/>
            </c:manualLayout>
          </c:layout>
          <c:overlay val="0"/>
          <c:spPr>
            <a:noFill/>
            <a:ln w="25400">
              <a:noFill/>
            </a:ln>
          </c:spPr>
        </c:title>
        <c:numFmt formatCode="#,##0"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679848"/>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plotArea>
      <c:layout>
        <c:manualLayout>
          <c:layoutTarget val="inner"/>
          <c:xMode val="edge"/>
          <c:yMode val="edge"/>
          <c:x val="3.7999999999999999E-2"/>
          <c:y val="0.25964010282776351"/>
          <c:w val="0.92200000000000004"/>
          <c:h val="0.62724935732647813"/>
        </c:manualLayout>
      </c:layout>
      <c:barChart>
        <c:barDir val="col"/>
        <c:grouping val="clustered"/>
        <c:varyColors val="0"/>
        <c:dLbls>
          <c:showLegendKey val="0"/>
          <c:showVal val="0"/>
          <c:showCatName val="0"/>
          <c:showSerName val="0"/>
          <c:showPercent val="0"/>
          <c:showBubbleSize val="0"/>
        </c:dLbls>
        <c:gapWidth val="150"/>
        <c:axId val="279509168"/>
        <c:axId val="1"/>
      </c:barChart>
      <c:catAx>
        <c:axId val="279509168"/>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509168"/>
        <c:crosses val="autoZero"/>
        <c:crossBetween val="between"/>
      </c:valAx>
      <c:spPr>
        <a:solidFill>
          <a:srgbClr val="D9D9D9"/>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s-CO"/>
              <a:t>Avance Acumulado de Metas PDD</a:t>
            </a:r>
          </a:p>
        </c:rich>
      </c:tx>
      <c:layout>
        <c:manualLayout>
          <c:xMode val="edge"/>
          <c:yMode val="edge"/>
          <c:x val="0.31231689743028096"/>
          <c:y val="3.099173952949133E-2"/>
        </c:manualLayout>
      </c:layout>
      <c:overlay val="0"/>
      <c:spPr>
        <a:noFill/>
        <a:ln w="25400">
          <a:noFill/>
        </a:ln>
      </c:spPr>
    </c:title>
    <c:autoTitleDeleted val="0"/>
    <c:plotArea>
      <c:layout>
        <c:manualLayout>
          <c:layoutTarget val="inner"/>
          <c:xMode val="edge"/>
          <c:yMode val="edge"/>
          <c:x val="0.14809394767081802"/>
          <c:y val="0.15495883401548177"/>
          <c:w val="0.83137889435003776"/>
          <c:h val="0.61415043938620295"/>
        </c:manualLayout>
      </c:layout>
      <c:barChart>
        <c:barDir val="col"/>
        <c:grouping val="clustered"/>
        <c:varyColors val="0"/>
        <c:ser>
          <c:idx val="0"/>
          <c:order val="0"/>
          <c:spPr>
            <a:solidFill>
              <a:srgbClr val="004586"/>
            </a:solidFill>
            <a:ln w="25400">
              <a:noFill/>
            </a:ln>
          </c:spPr>
          <c:invertIfNegative val="0"/>
          <c:cat>
            <c:numRef>
              <c:f>'DEI03-Ava Acum PDD BMpTpor proy'!$S$20:$S$40</c:f>
              <c:numCache>
                <c:formatCode>General</c:formatCode>
                <c:ptCount val="21"/>
                <c:pt idx="0">
                  <c:v>50000</c:v>
                </c:pt>
                <c:pt idx="1">
                  <c:v>31000</c:v>
                </c:pt>
                <c:pt idx="2">
                  <c:v>272000</c:v>
                </c:pt>
                <c:pt idx="3">
                  <c:v>2150</c:v>
                </c:pt>
                <c:pt idx="4">
                  <c:v>286</c:v>
                </c:pt>
                <c:pt idx="5">
                  <c:v>40</c:v>
                </c:pt>
                <c:pt idx="6">
                  <c:v>6</c:v>
                </c:pt>
                <c:pt idx="7">
                  <c:v>10</c:v>
                </c:pt>
                <c:pt idx="8">
                  <c:v>1900000</c:v>
                </c:pt>
                <c:pt idx="9">
                  <c:v>1600000</c:v>
                </c:pt>
                <c:pt idx="10">
                  <c:v>22077</c:v>
                </c:pt>
                <c:pt idx="11">
                  <c:v>12</c:v>
                </c:pt>
                <c:pt idx="12">
                  <c:v>2</c:v>
                </c:pt>
                <c:pt idx="13">
                  <c:v>14</c:v>
                </c:pt>
                <c:pt idx="15">
                  <c:v>10</c:v>
                </c:pt>
                <c:pt idx="16">
                  <c:v>70</c:v>
                </c:pt>
                <c:pt idx="17">
                  <c:v>2900000</c:v>
                </c:pt>
                <c:pt idx="18">
                  <c:v>55500</c:v>
                </c:pt>
                <c:pt idx="19">
                  <c:v>4760</c:v>
                </c:pt>
                <c:pt idx="20">
                  <c:v>0.9</c:v>
                </c:pt>
              </c:numCache>
            </c:numRef>
          </c:cat>
          <c:val>
            <c:numRef>
              <c:f>'DEI03-Ava Acum PDD BMpTpor proy'!$T$20:$T$40</c:f>
              <c:numCache>
                <c:formatCode>0.00%</c:formatCode>
                <c:ptCount val="21"/>
                <c:pt idx="0">
                  <c:v>0.64695999999999998</c:v>
                </c:pt>
                <c:pt idx="1">
                  <c:v>0.47293548387096773</c:v>
                </c:pt>
                <c:pt idx="2">
                  <c:v>0.18320220588235295</c:v>
                </c:pt>
                <c:pt idx="3">
                  <c:v>0.22</c:v>
                </c:pt>
                <c:pt idx="4">
                  <c:v>0.15734265734265734</c:v>
                </c:pt>
                <c:pt idx="5">
                  <c:v>0.125</c:v>
                </c:pt>
                <c:pt idx="6">
                  <c:v>0</c:v>
                </c:pt>
                <c:pt idx="7">
                  <c:v>0.09</c:v>
                </c:pt>
                <c:pt idx="8">
                  <c:v>0.13152157894736843</c:v>
                </c:pt>
                <c:pt idx="9">
                  <c:v>0.17669124999999999</c:v>
                </c:pt>
                <c:pt idx="10">
                  <c:v>0.21456719662997689</c:v>
                </c:pt>
                <c:pt idx="11">
                  <c:v>0.75</c:v>
                </c:pt>
                <c:pt idx="12">
                  <c:v>0.28999999999999998</c:v>
                </c:pt>
                <c:pt idx="13">
                  <c:v>0.7142857142857143</c:v>
                </c:pt>
                <c:pt idx="15">
                  <c:v>0.1</c:v>
                </c:pt>
                <c:pt idx="16">
                  <c:v>7.1428571428571425E-2</c:v>
                </c:pt>
                <c:pt idx="17">
                  <c:v>0.27315275862068966</c:v>
                </c:pt>
                <c:pt idx="18">
                  <c:v>0.15387387387387388</c:v>
                </c:pt>
                <c:pt idx="19">
                  <c:v>0.15294117647058825</c:v>
                </c:pt>
                <c:pt idx="20">
                  <c:v>0.94444444444444442</c:v>
                </c:pt>
              </c:numCache>
            </c:numRef>
          </c:val>
          <c:extLst>
            <c:ext xmlns:c16="http://schemas.microsoft.com/office/drawing/2014/chart" uri="{C3380CC4-5D6E-409C-BE32-E72D297353CC}">
              <c16:uniqueId val="{00000000-0399-4B11-B205-237174D6B580}"/>
            </c:ext>
          </c:extLst>
        </c:ser>
        <c:dLbls>
          <c:showLegendKey val="0"/>
          <c:showVal val="0"/>
          <c:showCatName val="0"/>
          <c:showSerName val="0"/>
          <c:showPercent val="0"/>
          <c:showBubbleSize val="0"/>
        </c:dLbls>
        <c:gapWidth val="100"/>
        <c:axId val="279511464"/>
        <c:axId val="1"/>
      </c:barChart>
      <c:catAx>
        <c:axId val="279511464"/>
        <c:scaling>
          <c:orientation val="minMax"/>
        </c:scaling>
        <c:delete val="0"/>
        <c:axPos val="b"/>
        <c:title>
          <c:tx>
            <c:rich>
              <a:bodyPr rot="0" vert="horz"/>
              <a:lstStyle/>
              <a:p>
                <a:pPr>
                  <a:defRPr sz="900" b="0" i="0" u="none" strike="noStrike" baseline="0">
                    <a:solidFill>
                      <a:srgbClr val="000000"/>
                    </a:solidFill>
                    <a:latin typeface="Arial"/>
                    <a:ea typeface="Arial"/>
                    <a:cs typeface="Arial"/>
                  </a:defRPr>
                </a:pPr>
                <a:r>
                  <a:rPr lang="es-CO"/>
                  <a:t>993  982        1000      </a:t>
                </a:r>
                <a:r>
                  <a:rPr lang="es-CO" baseline="0"/>
                  <a:t> </a:t>
                </a:r>
                <a:r>
                  <a:rPr lang="es-CO"/>
                  <a:t> 985         999         996      1010  999       1017     999             1017         998 </a:t>
                </a:r>
                <a:r>
                  <a:rPr lang="es-CO" sz="900" b="0" i="0" u="none" strike="noStrike" baseline="0">
                    <a:effectLst/>
                  </a:rPr>
                  <a:t>Proy </a:t>
                </a:r>
                <a:endParaRPr lang="es-CO"/>
              </a:p>
            </c:rich>
          </c:tx>
          <c:layout>
            <c:manualLayout>
              <c:xMode val="edge"/>
              <c:yMode val="edge"/>
              <c:x val="0.18205846523942926"/>
              <c:y val="0.89163142950689434"/>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270000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es-CO"/>
                  <a:t>Porcentaje</a:t>
                </a:r>
              </a:p>
            </c:rich>
          </c:tx>
          <c:layout>
            <c:manualLayout>
              <c:xMode val="edge"/>
              <c:yMode val="edge"/>
              <c:x val="2.3460493499805935E-2"/>
              <c:y val="0.42562023305369034"/>
            </c:manualLayout>
          </c:layout>
          <c:overlay val="0"/>
          <c:spPr>
            <a:noFill/>
            <a:ln w="25400">
              <a:noFill/>
            </a:ln>
          </c:spPr>
        </c:title>
        <c:numFmt formatCode="0.0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511464"/>
        <c:crosses val="autoZero"/>
        <c:crossBetween val="between"/>
      </c:valAx>
      <c:spPr>
        <a:noFill/>
        <a:ln w="3175">
          <a:solidFill>
            <a:srgbClr val="B3B3B3"/>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s-CO"/>
              <a:t>Total Modificaciones Plan de Acción</a:t>
            </a:r>
          </a:p>
        </c:rich>
      </c:tx>
      <c:layout>
        <c:manualLayout>
          <c:xMode val="edge"/>
          <c:yMode val="edge"/>
          <c:x val="0.15384652753881345"/>
          <c:y val="3.3240997229916899E-2"/>
        </c:manualLayout>
      </c:layout>
      <c:overlay val="0"/>
      <c:spPr>
        <a:noFill/>
        <a:ln w="25400">
          <a:noFill/>
        </a:ln>
      </c:spPr>
    </c:title>
    <c:autoTitleDeleted val="0"/>
    <c:plotArea>
      <c:layout>
        <c:manualLayout>
          <c:layoutTarget val="inner"/>
          <c:xMode val="edge"/>
          <c:yMode val="edge"/>
          <c:x val="0.16410297501746549"/>
          <c:y val="0.19390607944793034"/>
          <c:w val="0.80000200321014425"/>
          <c:h val="0.57340797779602259"/>
        </c:manualLayout>
      </c:layout>
      <c:barChart>
        <c:barDir val="col"/>
        <c:grouping val="clustered"/>
        <c:varyColors val="0"/>
        <c:ser>
          <c:idx val="0"/>
          <c:order val="0"/>
          <c:spPr>
            <a:solidFill>
              <a:srgbClr val="004586"/>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'DEI01-Plan Acción 2017'!$C$29:$N$29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D26-411F-B71E-09B77829E881}"/>
            </c:ext>
          </c:extLst>
        </c:ser>
        <c:dLbls>
          <c:showLegendKey val="0"/>
          <c:showVal val="0"/>
          <c:showCatName val="0"/>
          <c:showSerName val="0"/>
          <c:showPercent val="0"/>
          <c:showBubbleSize val="0"/>
        </c:dLbls>
        <c:gapWidth val="100"/>
        <c:axId val="279042336"/>
        <c:axId val="1"/>
      </c:barChart>
      <c:catAx>
        <c:axId val="279042336"/>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s-CO"/>
                  <a:t>Ene</a:t>
                </a:r>
                <a:r>
                  <a:rPr lang="es-CO" baseline="0"/>
                  <a:t> </a:t>
                </a:r>
                <a:r>
                  <a:rPr lang="es-CO"/>
                  <a:t>Feb Mar Abri May Juni Juli Ago Sept Octu Novi Dici</a:t>
                </a:r>
              </a:p>
            </c:rich>
          </c:tx>
          <c:layout>
            <c:manualLayout>
              <c:xMode val="edge"/>
              <c:yMode val="edge"/>
              <c:x val="0.18118818695220937"/>
              <c:y val="0.84949331472070144"/>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es-CO"/>
                  <a:t>Número</a:t>
                </a:r>
              </a:p>
            </c:rich>
          </c:tx>
          <c:layout>
            <c:manualLayout>
              <c:xMode val="edge"/>
              <c:yMode val="edge"/>
              <c:x val="4.1025848632674125E-2"/>
              <c:y val="0.41274296391621407"/>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042336"/>
        <c:crossesAt val="1"/>
        <c:crossBetween val="between"/>
      </c:valAx>
      <c:spPr>
        <a:noFill/>
        <a:ln w="3175">
          <a:solidFill>
            <a:srgbClr val="B3B3B3"/>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CO" sz="1200" b="0" i="0" baseline="0">
                <a:effectLst/>
              </a:rPr>
              <a:t>MODIFICACIONES DEL PLAN DE ACCIÓN</a:t>
            </a:r>
            <a:br>
              <a:rPr lang="es-CO" sz="1200" b="0" i="0" baseline="0">
                <a:effectLst/>
              </a:rPr>
            </a:br>
            <a:r>
              <a:rPr lang="es-CO" sz="1200" b="0" i="0" baseline="0">
                <a:effectLst/>
              </a:rPr>
              <a:t>
Por Proyecto de Inversión 2016</a:t>
            </a:r>
            <a:endParaRPr lang="es-CO" sz="1200">
              <a:effectLst/>
            </a:endParaRPr>
          </a:p>
        </c:rich>
      </c:tx>
      <c:layout/>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'DEI01-Plan Acción 2017'!$R$20:$R$28</c:f>
              <c:strCache>
                <c:ptCount val="9"/>
                <c:pt idx="0">
                  <c:v>Proy 982</c:v>
                </c:pt>
                <c:pt idx="1">
                  <c:v>Proy 985</c:v>
                </c:pt>
                <c:pt idx="2">
                  <c:v>Proy 993</c:v>
                </c:pt>
                <c:pt idx="3">
                  <c:v>Proy 996</c:v>
                </c:pt>
                <c:pt idx="4">
                  <c:v>Proy 998</c:v>
                </c:pt>
                <c:pt idx="5">
                  <c:v>Proy 999</c:v>
                </c:pt>
                <c:pt idx="6">
                  <c:v>Proy 1000</c:v>
                </c:pt>
                <c:pt idx="7">
                  <c:v>Proy 1010</c:v>
                </c:pt>
                <c:pt idx="8">
                  <c:v>Proy 1017</c:v>
                </c:pt>
              </c:strCache>
            </c:strRef>
          </c:cat>
          <c:val>
            <c:numRef>
              <c:f>'DEI01-Plan Acción 2017'!$S$20:$S$28</c:f>
              <c:numCache>
                <c:formatCode>General</c:formatCode>
                <c:ptCount val="9"/>
                <c:pt idx="0">
                  <c:v>3</c:v>
                </c:pt>
                <c:pt idx="1">
                  <c:v>4</c:v>
                </c:pt>
                <c:pt idx="2">
                  <c:v>15</c:v>
                </c:pt>
                <c:pt idx="3">
                  <c:v>6</c:v>
                </c:pt>
                <c:pt idx="4">
                  <c:v>18</c:v>
                </c:pt>
                <c:pt idx="5">
                  <c:v>3</c:v>
                </c:pt>
                <c:pt idx="6">
                  <c:v>1</c:v>
                </c:pt>
                <c:pt idx="7">
                  <c:v>27</c:v>
                </c:pt>
                <c:pt idx="8">
                  <c:v>21</c:v>
                </c:pt>
              </c:numCache>
            </c:numRef>
          </c:val>
          <c:extLst>
            <c:ext xmlns:c16="http://schemas.microsoft.com/office/drawing/2014/chart" uri="{C3380CC4-5D6E-409C-BE32-E72D297353CC}">
              <c16:uniqueId val="{00000000-37B0-476A-B225-538726710AC8}"/>
            </c:ext>
          </c:extLst>
        </c:ser>
        <c:dLbls>
          <c:showLegendKey val="0"/>
          <c:showVal val="0"/>
          <c:showCatName val="0"/>
          <c:showSerName val="0"/>
          <c:showPercent val="0"/>
          <c:showBubbleSize val="0"/>
        </c:dLbls>
        <c:gapWidth val="219"/>
        <c:overlap val="-27"/>
        <c:axId val="279400008"/>
        <c:axId val="1"/>
      </c:barChart>
      <c:catAx>
        <c:axId val="27940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94000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plotArea>
      <c:layout>
        <c:manualLayout>
          <c:layoutTarget val="inner"/>
          <c:xMode val="edge"/>
          <c:yMode val="edge"/>
          <c:x val="3.7999999999999999E-2"/>
          <c:y val="0.25964010282776351"/>
          <c:w val="0.92200000000000004"/>
          <c:h val="0.62724935732647813"/>
        </c:manualLayout>
      </c:layout>
      <c:barChart>
        <c:barDir val="col"/>
        <c:grouping val="clustered"/>
        <c:varyColors val="0"/>
        <c:dLbls>
          <c:showLegendKey val="0"/>
          <c:showVal val="0"/>
          <c:showCatName val="0"/>
          <c:showSerName val="0"/>
          <c:showPercent val="0"/>
          <c:showBubbleSize val="0"/>
        </c:dLbls>
        <c:gapWidth val="150"/>
        <c:axId val="279929056"/>
        <c:axId val="1"/>
      </c:barChart>
      <c:catAx>
        <c:axId val="279929056"/>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929056"/>
        <c:crosses val="autoZero"/>
        <c:crossBetween val="between"/>
      </c:valAx>
      <c:spPr>
        <a:solidFill>
          <a:srgbClr val="D9D9D9"/>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40783152758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8E-2"/>
          <c:y val="0.26735218508997427"/>
          <c:w val="0.88200000000000001"/>
          <c:h val="0.44473007712082263"/>
        </c:manualLayout>
      </c:layout>
      <c:bar3DChart>
        <c:barDir val="col"/>
        <c:grouping val="clustered"/>
        <c:varyColors val="0"/>
        <c:ser>
          <c:idx val="0"/>
          <c:order val="0"/>
          <c:spPr>
            <a:solidFill>
              <a:srgbClr val="004586"/>
            </a:solidFill>
            <a:ln w="25400">
              <a:noFill/>
            </a:ln>
          </c:spPr>
          <c:invertIfNegative val="0"/>
          <c:val>
            <c:numRef>
              <c:f>'Seguim Avance  % Metas 2015'!$F$80:$Q$80</c:f>
              <c:numCache>
                <c:formatCode>General</c:formatCode>
                <c:ptCount val="12"/>
              </c:numCache>
            </c:numRef>
          </c:val>
          <c:extLst>
            <c:ext xmlns:c16="http://schemas.microsoft.com/office/drawing/2014/chart" uri="{C3380CC4-5D6E-409C-BE32-E72D297353CC}">
              <c16:uniqueId val="{00000000-F863-431F-A11D-215FF23634FD}"/>
            </c:ext>
          </c:extLst>
        </c:ser>
        <c:dLbls>
          <c:showLegendKey val="0"/>
          <c:showVal val="0"/>
          <c:showCatName val="0"/>
          <c:showSerName val="0"/>
          <c:showPercent val="0"/>
          <c:showBubbleSize val="0"/>
        </c:dLbls>
        <c:gapWidth val="150"/>
        <c:shape val="box"/>
        <c:axId val="279836392"/>
        <c:axId val="1"/>
        <c:axId val="0"/>
      </c:bar3DChart>
      <c:catAx>
        <c:axId val="279836392"/>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3400000000000001"/>
              <c:y val="0.77634971868725289"/>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836392"/>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plotArea>
      <c:layout>
        <c:manualLayout>
          <c:layoutTarget val="inner"/>
          <c:xMode val="edge"/>
          <c:yMode val="edge"/>
          <c:x val="3.7999999999999999E-2"/>
          <c:y val="0.25964010282776351"/>
          <c:w val="0.92200000000000004"/>
          <c:h val="0.62724935732647813"/>
        </c:manualLayout>
      </c:layout>
      <c:barChart>
        <c:barDir val="col"/>
        <c:grouping val="clustered"/>
        <c:varyColors val="0"/>
        <c:dLbls>
          <c:showLegendKey val="0"/>
          <c:showVal val="0"/>
          <c:showCatName val="0"/>
          <c:showSerName val="0"/>
          <c:showPercent val="0"/>
          <c:showBubbleSize val="0"/>
        </c:dLbls>
        <c:gapWidth val="150"/>
        <c:axId val="279931352"/>
        <c:axId val="1"/>
      </c:barChart>
      <c:catAx>
        <c:axId val="279931352"/>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79931352"/>
        <c:crosses val="autoZero"/>
        <c:crossBetween val="between"/>
      </c:valAx>
      <c:spPr>
        <a:solidFill>
          <a:srgbClr val="D9D9D9"/>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40783152758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8E-2"/>
          <c:y val="0.26735218508997427"/>
          <c:w val="0.88200000000000001"/>
          <c:h val="0.44473007712082263"/>
        </c:manualLayout>
      </c:layout>
      <c:bar3DChart>
        <c:barDir val="col"/>
        <c:grouping val="clustered"/>
        <c:varyColors val="0"/>
        <c:ser>
          <c:idx val="0"/>
          <c:order val="0"/>
          <c:spPr>
            <a:solidFill>
              <a:srgbClr val="004586"/>
            </a:solidFill>
            <a:ln w="25400">
              <a:noFill/>
            </a:ln>
          </c:spPr>
          <c:invertIfNegative val="0"/>
          <c:val>
            <c:numRef>
              <c:f>'Seguim Avance  % Metas 2017'!$F$80:$Q$80</c:f>
              <c:numCache>
                <c:formatCode>General</c:formatCode>
                <c:ptCount val="12"/>
              </c:numCache>
            </c:numRef>
          </c:val>
          <c:extLst>
            <c:ext xmlns:c16="http://schemas.microsoft.com/office/drawing/2014/chart" uri="{C3380CC4-5D6E-409C-BE32-E72D297353CC}">
              <c16:uniqueId val="{00000000-D863-4A68-8CC2-43C2251A8723}"/>
            </c:ext>
          </c:extLst>
        </c:ser>
        <c:dLbls>
          <c:showLegendKey val="0"/>
          <c:showVal val="0"/>
          <c:showCatName val="0"/>
          <c:showSerName val="0"/>
          <c:showPercent val="0"/>
          <c:showBubbleSize val="0"/>
        </c:dLbls>
        <c:gapWidth val="150"/>
        <c:shape val="box"/>
        <c:axId val="279839016"/>
        <c:axId val="1"/>
        <c:axId val="0"/>
      </c:bar3DChart>
      <c:catAx>
        <c:axId val="279839016"/>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3400000000000001"/>
              <c:y val="0.77634971868725289"/>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839016"/>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8E-2"/>
          <c:y val="0.26735218508997427"/>
          <c:w val="0.88200000000000001"/>
          <c:h val="0.44473007712082263"/>
        </c:manualLayout>
      </c:layout>
      <c:bar3DChart>
        <c:barDir val="col"/>
        <c:grouping val="clustered"/>
        <c:varyColors val="0"/>
        <c:ser>
          <c:idx val="0"/>
          <c:order val="0"/>
          <c:spPr>
            <a:solidFill>
              <a:srgbClr val="004586"/>
            </a:solidFill>
            <a:ln w="25400">
              <a:noFill/>
            </a:ln>
          </c:spPr>
          <c:invertIfNegative val="0"/>
          <c:val>
            <c:numRef>
              <c:f>'Seguim Avance Metas PDD 2015'!$F$51:$Q$51</c:f>
              <c:numCache>
                <c:formatCode>General</c:formatCode>
                <c:ptCount val="12"/>
              </c:numCache>
            </c:numRef>
          </c:val>
          <c:extLst>
            <c:ext xmlns:c16="http://schemas.microsoft.com/office/drawing/2014/chart" uri="{C3380CC4-5D6E-409C-BE32-E72D297353CC}">
              <c16:uniqueId val="{00000000-795D-459C-9665-0AD0E31F297E}"/>
            </c:ext>
          </c:extLst>
        </c:ser>
        <c:dLbls>
          <c:showLegendKey val="0"/>
          <c:showVal val="0"/>
          <c:showCatName val="0"/>
          <c:showSerName val="0"/>
          <c:showPercent val="0"/>
          <c:showBubbleSize val="0"/>
        </c:dLbls>
        <c:gapWidth val="150"/>
        <c:shape val="box"/>
        <c:axId val="279924136"/>
        <c:axId val="1"/>
        <c:axId val="0"/>
      </c:bar3DChart>
      <c:catAx>
        <c:axId val="279924136"/>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3400000000000001"/>
              <c:y val="0.77634964477607837"/>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924136"/>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CUMPLIMIENTO T.R.D.
sub-title</a:t>
            </a:r>
          </a:p>
        </c:rich>
      </c:tx>
      <c:layout>
        <c:manualLayout>
          <c:xMode val="edge"/>
          <c:yMode val="edge"/>
          <c:x val="0.32400000000000001"/>
          <c:y val="2.0565609927031374E-2"/>
        </c:manualLayout>
      </c:layout>
      <c:overlay val="0"/>
      <c:spPr>
        <a:noFill/>
        <a:ln w="25400">
          <a:noFill/>
        </a:ln>
      </c:spPr>
    </c:title>
    <c:autoTitleDeleted val="0"/>
    <c:view3D>
      <c:rotX val="18"/>
      <c:hPercent val="52"/>
      <c:rotY val="17"/>
      <c:depthPercent val="100"/>
      <c:rAngAx val="1"/>
    </c:view3D>
    <c:floor>
      <c:thickness val="0"/>
      <c:spPr>
        <a:solidFill>
          <a:srgbClr val="CCCCCC"/>
        </a:solidFill>
        <a:ln w="3175">
          <a:solidFill>
            <a:srgbClr val="C0C0C0"/>
          </a:solidFill>
          <a:prstDash val="solid"/>
        </a:ln>
      </c:spPr>
    </c:floor>
    <c:sideWall>
      <c:thickness val="0"/>
      <c:spPr>
        <a:noFill/>
        <a:ln w="12700">
          <a:solidFill>
            <a:srgbClr val="C0C0C0"/>
          </a:solidFill>
          <a:prstDash val="solid"/>
        </a:ln>
      </c:spPr>
    </c:sideWall>
    <c:backWall>
      <c:thickness val="0"/>
      <c:spPr>
        <a:noFill/>
        <a:ln w="12700">
          <a:solidFill>
            <a:srgbClr val="C0C0C0"/>
          </a:solidFill>
          <a:prstDash val="solid"/>
        </a:ln>
      </c:spPr>
    </c:backWall>
    <c:plotArea>
      <c:layout>
        <c:manualLayout>
          <c:layoutTarget val="inner"/>
          <c:xMode val="edge"/>
          <c:yMode val="edge"/>
          <c:x val="7.8E-2"/>
          <c:y val="0.26735218508997427"/>
          <c:w val="0.88200000000000001"/>
          <c:h val="0.44473007712082263"/>
        </c:manualLayout>
      </c:layout>
      <c:bar3DChart>
        <c:barDir val="col"/>
        <c:grouping val="clustered"/>
        <c:varyColors val="0"/>
        <c:ser>
          <c:idx val="0"/>
          <c:order val="0"/>
          <c:spPr>
            <a:solidFill>
              <a:srgbClr val="004586"/>
            </a:solidFill>
            <a:ln w="25400">
              <a:noFill/>
            </a:ln>
          </c:spPr>
          <c:invertIfNegative val="0"/>
          <c:val>
            <c:numRef>
              <c:f>'Seguim Avance Metas PDD 2017'!$F$51:$Q$51</c:f>
              <c:numCache>
                <c:formatCode>General</c:formatCode>
                <c:ptCount val="12"/>
              </c:numCache>
            </c:numRef>
          </c:val>
          <c:extLst>
            <c:ext xmlns:c16="http://schemas.microsoft.com/office/drawing/2014/chart" uri="{C3380CC4-5D6E-409C-BE32-E72D297353CC}">
              <c16:uniqueId val="{00000000-20F9-48E5-8DCA-50DF34B5A9DA}"/>
            </c:ext>
          </c:extLst>
        </c:ser>
        <c:dLbls>
          <c:showLegendKey val="0"/>
          <c:showVal val="0"/>
          <c:showCatName val="0"/>
          <c:showSerName val="0"/>
          <c:showPercent val="0"/>
          <c:showBubbleSize val="0"/>
        </c:dLbls>
        <c:gapWidth val="150"/>
        <c:shape val="box"/>
        <c:axId val="279926760"/>
        <c:axId val="1"/>
        <c:axId val="0"/>
      </c:bar3DChart>
      <c:catAx>
        <c:axId val="279926760"/>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23400000000000001"/>
              <c:y val="0.77634964477607837"/>
            </c:manualLayout>
          </c:layout>
          <c:overlay val="0"/>
          <c:spPr>
            <a:noFill/>
            <a:ln w="25400">
              <a:noFill/>
            </a:ln>
          </c:spPr>
        </c:title>
        <c:numFmt formatCode="General" sourceLinked="1"/>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0"/>
        <c:majorTickMark val="none"/>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9926760"/>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absolute">
    <xdr:from>
      <xdr:col>0</xdr:col>
      <xdr:colOff>428625</xdr:colOff>
      <xdr:row>0</xdr:row>
      <xdr:rowOff>19050</xdr:rowOff>
    </xdr:from>
    <xdr:to>
      <xdr:col>1</xdr:col>
      <xdr:colOff>990600</xdr:colOff>
      <xdr:row>5</xdr:row>
      <xdr:rowOff>152400</xdr:rowOff>
    </xdr:to>
    <xdr:pic>
      <xdr:nvPicPr>
        <xdr:cNvPr id="3390" name="Imagen 1"/>
        <xdr:cNvPicPr>
          <a:picLocks noChangeAspect="1" noChangeArrowheads="1"/>
        </xdr:cNvPicPr>
      </xdr:nvPicPr>
      <xdr:blipFill>
        <a:blip xmlns:r="http://schemas.openxmlformats.org/officeDocument/2006/relationships" r:embed="rId1" cstate="print">
          <a:lum bright="-50000"/>
          <a:extLst>
            <a:ext uri="{28A0092B-C50C-407E-A947-70E740481C1C}">
              <a14:useLocalDpi xmlns:a14="http://schemas.microsoft.com/office/drawing/2010/main" val="0"/>
            </a:ext>
          </a:extLst>
        </a:blip>
        <a:srcRect/>
        <a:stretch>
          <a:fillRect/>
        </a:stretch>
      </xdr:blipFill>
      <xdr:spPr bwMode="auto">
        <a:xfrm>
          <a:off x="428625" y="19050"/>
          <a:ext cx="1276350" cy="9906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bright="-50000"/>
                </a:blip>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4</xdr:col>
      <xdr:colOff>590550</xdr:colOff>
      <xdr:row>45</xdr:row>
      <xdr:rowOff>250825</xdr:rowOff>
    </xdr:from>
    <xdr:to>
      <xdr:col>10</xdr:col>
      <xdr:colOff>69850</xdr:colOff>
      <xdr:row>53</xdr:row>
      <xdr:rowOff>263525</xdr:rowOff>
    </xdr:to>
    <xdr:graphicFrame macro="">
      <xdr:nvGraphicFramePr>
        <xdr:cNvPr id="339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45</xdr:row>
      <xdr:rowOff>250825</xdr:rowOff>
    </xdr:from>
    <xdr:to>
      <xdr:col>4</xdr:col>
      <xdr:colOff>314325</xdr:colOff>
      <xdr:row>53</xdr:row>
      <xdr:rowOff>234950</xdr:rowOff>
    </xdr:to>
    <xdr:graphicFrame macro="">
      <xdr:nvGraphicFramePr>
        <xdr:cNvPr id="339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314325</xdr:colOff>
      <xdr:row>37</xdr:row>
      <xdr:rowOff>180975</xdr:rowOff>
    </xdr:from>
    <xdr:to>
      <xdr:col>15</xdr:col>
      <xdr:colOff>333375</xdr:colOff>
      <xdr:row>44</xdr:row>
      <xdr:rowOff>161925</xdr:rowOff>
    </xdr:to>
    <xdr:graphicFrame macro="">
      <xdr:nvGraphicFramePr>
        <xdr:cNvPr id="339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495300</xdr:colOff>
      <xdr:row>0</xdr:row>
      <xdr:rowOff>19050</xdr:rowOff>
    </xdr:from>
    <xdr:to>
      <xdr:col>1</xdr:col>
      <xdr:colOff>419100</xdr:colOff>
      <xdr:row>5</xdr:row>
      <xdr:rowOff>171450</xdr:rowOff>
    </xdr:to>
    <xdr:pic>
      <xdr:nvPicPr>
        <xdr:cNvPr id="473269" name="Imagen 1"/>
        <xdr:cNvPicPr>
          <a:picLocks noChangeAspect="1" noChangeArrowheads="1"/>
        </xdr:cNvPicPr>
      </xdr:nvPicPr>
      <xdr:blipFill>
        <a:blip xmlns:r="http://schemas.openxmlformats.org/officeDocument/2006/relationships" r:embed="rId1" cstate="print">
          <a:lum bright="-50000"/>
          <a:extLst>
            <a:ext uri="{28A0092B-C50C-407E-A947-70E740481C1C}">
              <a14:useLocalDpi xmlns:a14="http://schemas.microsoft.com/office/drawing/2010/main" val="0"/>
            </a:ext>
          </a:extLst>
        </a:blip>
        <a:srcRect/>
        <a:stretch>
          <a:fillRect/>
        </a:stretch>
      </xdr:blipFill>
      <xdr:spPr bwMode="auto">
        <a:xfrm>
          <a:off x="495300" y="19050"/>
          <a:ext cx="14763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bright="-50000"/>
                </a:blip>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0</xdr:col>
      <xdr:colOff>0</xdr:colOff>
      <xdr:row>268</xdr:row>
      <xdr:rowOff>111125</xdr:rowOff>
    </xdr:from>
    <xdr:to>
      <xdr:col>3</xdr:col>
      <xdr:colOff>781050</xdr:colOff>
      <xdr:row>289</xdr:row>
      <xdr:rowOff>28575</xdr:rowOff>
    </xdr:to>
    <xdr:graphicFrame macro="">
      <xdr:nvGraphicFramePr>
        <xdr:cNvPr id="47327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104775</xdr:colOff>
      <xdr:row>33</xdr:row>
      <xdr:rowOff>95250</xdr:rowOff>
    </xdr:from>
    <xdr:to>
      <xdr:col>4</xdr:col>
      <xdr:colOff>9525</xdr:colOff>
      <xdr:row>36</xdr:row>
      <xdr:rowOff>676275</xdr:rowOff>
    </xdr:to>
    <xdr:graphicFrame macro="">
      <xdr:nvGraphicFramePr>
        <xdr:cNvPr id="47327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19</xdr:col>
      <xdr:colOff>47625</xdr:colOff>
      <xdr:row>17</xdr:row>
      <xdr:rowOff>114300</xdr:rowOff>
    </xdr:from>
    <xdr:to>
      <xdr:col>24</xdr:col>
      <xdr:colOff>523875</xdr:colOff>
      <xdr:row>22</xdr:row>
      <xdr:rowOff>552450</xdr:rowOff>
    </xdr:to>
    <xdr:graphicFrame macro="">
      <xdr:nvGraphicFramePr>
        <xdr:cNvPr id="1450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542925</xdr:colOff>
      <xdr:row>31</xdr:row>
      <xdr:rowOff>209550</xdr:rowOff>
    </xdr:from>
    <xdr:to>
      <xdr:col>24</xdr:col>
      <xdr:colOff>76200</xdr:colOff>
      <xdr:row>37</xdr:row>
      <xdr:rowOff>76200</xdr:rowOff>
    </xdr:to>
    <xdr:graphicFrame macro="">
      <xdr:nvGraphicFramePr>
        <xdr:cNvPr id="1450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57150</xdr:rowOff>
    </xdr:from>
    <xdr:to>
      <xdr:col>1</xdr:col>
      <xdr:colOff>0</xdr:colOff>
      <xdr:row>4</xdr:row>
      <xdr:rowOff>323850</xdr:rowOff>
    </xdr:to>
    <xdr:pic>
      <xdr:nvPicPr>
        <xdr:cNvPr id="16468" name="1 Imagen"/>
        <xdr:cNvPicPr>
          <a:picLocks noChangeAspect="1" noChangeArrowheads="1"/>
        </xdr:cNvPicPr>
      </xdr:nvPicPr>
      <xdr:blipFill>
        <a:blip xmlns:r="http://schemas.openxmlformats.org/officeDocument/2006/relationships" r:embed="rId1">
          <a:lum bright="-50000"/>
          <a:extLst>
            <a:ext uri="{28A0092B-C50C-407E-A947-70E740481C1C}">
              <a14:useLocalDpi xmlns:a14="http://schemas.microsoft.com/office/drawing/2010/main" val="0"/>
            </a:ext>
          </a:extLst>
        </a:blip>
        <a:srcRect/>
        <a:stretch>
          <a:fillRect/>
        </a:stretch>
      </xdr:blipFill>
      <xdr:spPr bwMode="auto">
        <a:xfrm>
          <a:off x="0" y="257175"/>
          <a:ext cx="1076325" cy="1333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bright="-50000"/>
                </a:blip>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1038225</xdr:colOff>
      <xdr:row>0</xdr:row>
      <xdr:rowOff>0</xdr:rowOff>
    </xdr:from>
    <xdr:to>
      <xdr:col>0</xdr:col>
      <xdr:colOff>2524125</xdr:colOff>
      <xdr:row>5</xdr:row>
      <xdr:rowOff>171450</xdr:rowOff>
    </xdr:to>
    <xdr:pic>
      <xdr:nvPicPr>
        <xdr:cNvPr id="586918" name="Imagen 1"/>
        <xdr:cNvPicPr>
          <a:picLocks noChangeAspect="1" noChangeArrowheads="1"/>
        </xdr:cNvPicPr>
      </xdr:nvPicPr>
      <xdr:blipFill>
        <a:blip xmlns:r="http://schemas.openxmlformats.org/officeDocument/2006/relationships" r:embed="rId1" cstate="print">
          <a:lum bright="-50000"/>
          <a:extLst>
            <a:ext uri="{28A0092B-C50C-407E-A947-70E740481C1C}">
              <a14:useLocalDpi xmlns:a14="http://schemas.microsoft.com/office/drawing/2010/main" val="0"/>
            </a:ext>
          </a:extLst>
        </a:blip>
        <a:srcRect/>
        <a:stretch>
          <a:fillRect/>
        </a:stretch>
      </xdr:blipFill>
      <xdr:spPr bwMode="auto">
        <a:xfrm>
          <a:off x="1038225" y="0"/>
          <a:ext cx="1485900" cy="1028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bright="-50000"/>
                </a:blip>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0</xdr:col>
      <xdr:colOff>0</xdr:colOff>
      <xdr:row>146</xdr:row>
      <xdr:rowOff>149225</xdr:rowOff>
    </xdr:from>
    <xdr:to>
      <xdr:col>2</xdr:col>
      <xdr:colOff>600075</xdr:colOff>
      <xdr:row>167</xdr:row>
      <xdr:rowOff>53975</xdr:rowOff>
    </xdr:to>
    <xdr:graphicFrame macro="">
      <xdr:nvGraphicFramePr>
        <xdr:cNvPr id="586919"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66675</xdr:colOff>
      <xdr:row>44</xdr:row>
      <xdr:rowOff>171450</xdr:rowOff>
    </xdr:from>
    <xdr:to>
      <xdr:col>16</xdr:col>
      <xdr:colOff>1190625</xdr:colOff>
      <xdr:row>51</xdr:row>
      <xdr:rowOff>647700</xdr:rowOff>
    </xdr:to>
    <xdr:graphicFrame macro="">
      <xdr:nvGraphicFramePr>
        <xdr:cNvPr id="586920"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317</xdr:row>
      <xdr:rowOff>123825</xdr:rowOff>
    </xdr:from>
    <xdr:to>
      <xdr:col>4</xdr:col>
      <xdr:colOff>1066800</xdr:colOff>
      <xdr:row>338</xdr:row>
      <xdr:rowOff>28575</xdr:rowOff>
    </xdr:to>
    <xdr:graphicFrame macro="">
      <xdr:nvGraphicFramePr>
        <xdr:cNvPr id="4180"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315</xdr:row>
      <xdr:rowOff>9525</xdr:rowOff>
    </xdr:from>
    <xdr:to>
      <xdr:col>4</xdr:col>
      <xdr:colOff>1066800</xdr:colOff>
      <xdr:row>335</xdr:row>
      <xdr:rowOff>95250</xdr:rowOff>
    </xdr:to>
    <xdr:graphicFrame macro="">
      <xdr:nvGraphicFramePr>
        <xdr:cNvPr id="520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317</xdr:row>
      <xdr:rowOff>152400</xdr:rowOff>
    </xdr:from>
    <xdr:to>
      <xdr:col>4</xdr:col>
      <xdr:colOff>1066800</xdr:colOff>
      <xdr:row>338</xdr:row>
      <xdr:rowOff>57150</xdr:rowOff>
    </xdr:to>
    <xdr:graphicFrame macro="">
      <xdr:nvGraphicFramePr>
        <xdr:cNvPr id="622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315</xdr:row>
      <xdr:rowOff>9525</xdr:rowOff>
    </xdr:from>
    <xdr:to>
      <xdr:col>4</xdr:col>
      <xdr:colOff>1066800</xdr:colOff>
      <xdr:row>335</xdr:row>
      <xdr:rowOff>95250</xdr:rowOff>
    </xdr:to>
    <xdr:graphicFrame macro="">
      <xdr:nvGraphicFramePr>
        <xdr:cNvPr id="725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317</xdr:row>
      <xdr:rowOff>114300</xdr:rowOff>
    </xdr:from>
    <xdr:to>
      <xdr:col>4</xdr:col>
      <xdr:colOff>1066800</xdr:colOff>
      <xdr:row>338</xdr:row>
      <xdr:rowOff>19050</xdr:rowOff>
    </xdr:to>
    <xdr:graphicFrame macro="">
      <xdr:nvGraphicFramePr>
        <xdr:cNvPr id="9300"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318</xdr:row>
      <xdr:rowOff>123825</xdr:rowOff>
    </xdr:from>
    <xdr:to>
      <xdr:col>4</xdr:col>
      <xdr:colOff>1066800</xdr:colOff>
      <xdr:row>339</xdr:row>
      <xdr:rowOff>28575</xdr:rowOff>
    </xdr:to>
    <xdr:graphicFrame macro="">
      <xdr:nvGraphicFramePr>
        <xdr:cNvPr id="1032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318</xdr:row>
      <xdr:rowOff>123825</xdr:rowOff>
    </xdr:from>
    <xdr:to>
      <xdr:col>4</xdr:col>
      <xdr:colOff>1066800</xdr:colOff>
      <xdr:row>339</xdr:row>
      <xdr:rowOff>28575</xdr:rowOff>
    </xdr:to>
    <xdr:graphicFrame macro="">
      <xdr:nvGraphicFramePr>
        <xdr:cNvPr id="1134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319</xdr:row>
      <xdr:rowOff>85725</xdr:rowOff>
    </xdr:from>
    <xdr:to>
      <xdr:col>4</xdr:col>
      <xdr:colOff>1209675</xdr:colOff>
      <xdr:row>339</xdr:row>
      <xdr:rowOff>171450</xdr:rowOff>
    </xdr:to>
    <xdr:graphicFrame macro="">
      <xdr:nvGraphicFramePr>
        <xdr:cNvPr id="1237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75" zoomScaleNormal="75" workbookViewId="0"/>
  </sheetViews>
  <sheetFormatPr baseColWidth="10" defaultRowHeight="14.65" customHeight="1"/>
  <cols>
    <col min="1" max="1" width="9.5703125" style="1" customWidth="1"/>
    <col min="2" max="2" width="10.5703125" style="1" customWidth="1"/>
    <col min="3" max="3" width="19.7109375" style="1" customWidth="1"/>
    <col min="4" max="4" width="16.85546875" style="1" customWidth="1"/>
    <col min="5" max="5" width="18.42578125" style="1" customWidth="1"/>
    <col min="6" max="7" width="17.28515625" style="1" customWidth="1"/>
    <col min="8" max="8" width="20.140625" style="1" customWidth="1"/>
    <col min="9" max="9" width="18.7109375" style="1" customWidth="1"/>
    <col min="10" max="10" width="18.42578125" style="1" customWidth="1"/>
    <col min="11" max="11" width="17.140625" style="1" customWidth="1"/>
    <col min="12" max="12" width="17.85546875" style="1" customWidth="1"/>
    <col min="13" max="13" width="52.7109375" style="1" customWidth="1"/>
    <col min="14" max="14" width="2.7109375" style="1" customWidth="1"/>
    <col min="15" max="16384" width="11.42578125" style="1"/>
  </cols>
  <sheetData>
    <row r="1" spans="1:256" s="3" customFormat="1" ht="13.9" customHeight="1">
      <c r="A1" s="184" t="s">
        <v>0</v>
      </c>
      <c r="B1" s="184"/>
      <c r="C1" s="184"/>
      <c r="D1" s="184"/>
      <c r="E1" s="184"/>
      <c r="F1" s="184"/>
      <c r="G1" s="184"/>
      <c r="H1" s="184"/>
      <c r="I1" s="184"/>
      <c r="J1" s="184"/>
      <c r="K1" s="184"/>
      <c r="L1" s="184"/>
      <c r="M1" s="184"/>
    </row>
    <row r="2" spans="1:256" s="3" customFormat="1" ht="13.9" customHeight="1">
      <c r="A2" s="184"/>
      <c r="B2" s="184"/>
      <c r="C2" s="184"/>
      <c r="D2" s="184"/>
      <c r="E2" s="184"/>
      <c r="F2" s="184"/>
      <c r="G2" s="184"/>
      <c r="H2" s="184"/>
      <c r="I2" s="184"/>
      <c r="J2" s="184"/>
      <c r="K2" s="184"/>
      <c r="L2" s="184"/>
      <c r="M2" s="184"/>
    </row>
    <row r="3" spans="1:256" s="3" customFormat="1" ht="13.9" customHeight="1">
      <c r="A3" s="184"/>
      <c r="B3" s="184"/>
      <c r="C3" s="184"/>
      <c r="D3" s="184"/>
      <c r="E3" s="184"/>
      <c r="F3" s="184"/>
      <c r="G3" s="184"/>
      <c r="H3" s="184"/>
      <c r="I3" s="184"/>
      <c r="J3" s="184"/>
      <c r="K3" s="184"/>
      <c r="L3" s="184"/>
      <c r="M3" s="184"/>
    </row>
    <row r="4" spans="1:256" s="3" customFormat="1" ht="13.9" customHeight="1">
      <c r="A4" s="184" t="s">
        <v>1</v>
      </c>
      <c r="B4" s="184"/>
      <c r="C4" s="184"/>
      <c r="D4" s="184"/>
      <c r="E4" s="184"/>
      <c r="F4" s="184"/>
      <c r="G4" s="184"/>
      <c r="H4" s="184"/>
      <c r="I4" s="184"/>
      <c r="J4" s="184"/>
      <c r="K4" s="184"/>
      <c r="L4" s="184"/>
      <c r="M4" s="184"/>
    </row>
    <row r="5" spans="1:256" s="3" customFormat="1" ht="13.9" customHeight="1">
      <c r="A5" s="184"/>
      <c r="B5" s="184"/>
      <c r="C5" s="184"/>
      <c r="D5" s="184"/>
      <c r="E5" s="184"/>
      <c r="F5" s="184"/>
      <c r="G5" s="184"/>
      <c r="H5" s="184"/>
      <c r="I5" s="184"/>
      <c r="J5" s="184"/>
      <c r="K5" s="184"/>
      <c r="L5" s="184"/>
      <c r="M5" s="184"/>
    </row>
    <row r="6" spans="1:256" s="3" customFormat="1" ht="13.9" customHeight="1">
      <c r="A6" s="184"/>
      <c r="B6" s="184"/>
      <c r="C6" s="184"/>
      <c r="D6" s="184"/>
      <c r="E6" s="184"/>
      <c r="F6" s="184"/>
      <c r="G6" s="184"/>
      <c r="H6" s="184"/>
      <c r="I6" s="184"/>
      <c r="J6" s="184"/>
      <c r="K6" s="184"/>
      <c r="L6" s="184"/>
      <c r="M6" s="184"/>
    </row>
    <row r="7" spans="1:256" s="3" customFormat="1" ht="12.75" customHeight="1">
      <c r="A7" s="185"/>
      <c r="B7" s="185"/>
      <c r="C7" s="185"/>
      <c r="D7" s="185"/>
      <c r="E7" s="185"/>
      <c r="F7" s="185"/>
      <c r="G7" s="185"/>
      <c r="H7" s="185"/>
      <c r="I7" s="185"/>
      <c r="J7" s="185"/>
      <c r="K7" s="185"/>
      <c r="L7" s="185"/>
      <c r="M7" s="185"/>
    </row>
    <row r="8" spans="1:256" ht="30" customHeight="1">
      <c r="A8" s="179" t="s">
        <v>2</v>
      </c>
      <c r="B8" s="179"/>
      <c r="C8" s="179"/>
      <c r="D8" s="179"/>
      <c r="E8" s="179"/>
      <c r="F8" s="179"/>
      <c r="G8" s="179"/>
      <c r="H8" s="179"/>
      <c r="I8" s="179"/>
      <c r="J8" s="179"/>
      <c r="K8" s="179"/>
      <c r="L8" s="179"/>
      <c r="M8" s="179"/>
    </row>
    <row r="9" spans="1:256" ht="42" customHeight="1">
      <c r="A9" s="182" t="s">
        <v>3</v>
      </c>
      <c r="B9" s="182"/>
      <c r="C9" s="182"/>
      <c r="D9" s="183" t="s">
        <v>4</v>
      </c>
      <c r="E9" s="183"/>
      <c r="F9" s="183"/>
      <c r="G9" s="183"/>
      <c r="H9" s="183"/>
      <c r="I9" s="183"/>
      <c r="J9" s="182" t="s">
        <v>5</v>
      </c>
      <c r="K9" s="182"/>
      <c r="L9" s="182"/>
      <c r="M9" s="5" t="s">
        <v>6</v>
      </c>
    </row>
    <row r="10" spans="1:256" ht="42" customHeight="1">
      <c r="A10" s="182" t="s">
        <v>7</v>
      </c>
      <c r="B10" s="182"/>
      <c r="C10" s="182"/>
      <c r="D10" s="183" t="s">
        <v>8</v>
      </c>
      <c r="E10" s="183"/>
      <c r="F10" s="183"/>
      <c r="G10" s="183"/>
      <c r="H10" s="183"/>
      <c r="I10" s="183"/>
      <c r="J10" s="182" t="s">
        <v>9</v>
      </c>
      <c r="K10" s="182"/>
      <c r="L10" s="182"/>
      <c r="M10" s="5" t="s">
        <v>10</v>
      </c>
    </row>
    <row r="11" spans="1:256" ht="15" customHeight="1">
      <c r="A11" s="182" t="s">
        <v>11</v>
      </c>
      <c r="B11" s="182"/>
      <c r="C11" s="182"/>
      <c r="D11" s="183" t="s">
        <v>12</v>
      </c>
      <c r="E11" s="183"/>
      <c r="F11" s="183"/>
      <c r="G11" s="183"/>
      <c r="H11" s="183"/>
      <c r="I11" s="183"/>
      <c r="J11" s="182" t="s">
        <v>13</v>
      </c>
      <c r="K11" s="182"/>
      <c r="L11" s="182"/>
      <c r="M11" s="1">
        <v>2015</v>
      </c>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14</v>
      </c>
      <c r="B13" s="179"/>
      <c r="C13" s="179"/>
      <c r="D13" s="179"/>
      <c r="E13" s="179"/>
      <c r="F13" s="179"/>
      <c r="G13" s="179"/>
      <c r="H13" s="179"/>
      <c r="I13" s="179"/>
      <c r="J13" s="179"/>
      <c r="K13" s="179"/>
      <c r="L13" s="179"/>
      <c r="M13" s="179"/>
    </row>
    <row r="14" spans="1:256" ht="45" customHeight="1">
      <c r="A14" s="4" t="s">
        <v>15</v>
      </c>
      <c r="B14" s="6" t="s">
        <v>16</v>
      </c>
      <c r="C14" s="6" t="s">
        <v>17</v>
      </c>
      <c r="D14" s="4" t="s">
        <v>18</v>
      </c>
      <c r="E14" s="4" t="s">
        <v>19</v>
      </c>
      <c r="F14" s="4" t="s">
        <v>20</v>
      </c>
      <c r="G14" s="4" t="s">
        <v>21</v>
      </c>
      <c r="H14" s="4" t="s">
        <v>22</v>
      </c>
      <c r="I14" s="4" t="s">
        <v>23</v>
      </c>
      <c r="J14" s="4" t="s">
        <v>20</v>
      </c>
      <c r="K14" s="4" t="s">
        <v>21</v>
      </c>
      <c r="L14" s="4" t="s">
        <v>22</v>
      </c>
      <c r="M14" s="4" t="s">
        <v>24</v>
      </c>
    </row>
    <row r="15" spans="1:256" ht="44.85" customHeight="1">
      <c r="A15" s="7"/>
      <c r="B15" s="8"/>
      <c r="C15" s="9"/>
      <c r="D15" s="9"/>
      <c r="E15" s="9"/>
      <c r="F15" s="9"/>
      <c r="G15" s="9"/>
      <c r="H15" s="9">
        <f t="shared" ref="H15:H27" si="0">+F15+G15</f>
        <v>0</v>
      </c>
      <c r="I15" s="9"/>
      <c r="J15" s="9"/>
      <c r="K15" s="9"/>
      <c r="L15" s="9">
        <f t="shared" ref="L15:L27" si="1">+J15-K15</f>
        <v>0</v>
      </c>
      <c r="M15" s="9"/>
    </row>
    <row r="16" spans="1:256" ht="44.85" customHeight="1">
      <c r="A16" s="7"/>
      <c r="B16" s="8"/>
      <c r="C16" s="9"/>
      <c r="D16" s="9"/>
      <c r="E16" s="9"/>
      <c r="F16" s="9"/>
      <c r="G16" s="9"/>
      <c r="H16" s="9">
        <f t="shared" si="0"/>
        <v>0</v>
      </c>
      <c r="I16" s="9"/>
      <c r="J16" s="9"/>
      <c r="K16" s="9"/>
      <c r="L16" s="9">
        <f t="shared" si="1"/>
        <v>0</v>
      </c>
      <c r="M16" s="9"/>
    </row>
    <row r="17" spans="1:13" ht="44.85" customHeight="1">
      <c r="A17" s="7"/>
      <c r="B17" s="8"/>
      <c r="C17" s="9"/>
      <c r="D17" s="9"/>
      <c r="E17" s="9"/>
      <c r="F17" s="9"/>
      <c r="G17" s="9"/>
      <c r="H17" s="9">
        <f t="shared" si="0"/>
        <v>0</v>
      </c>
      <c r="I17" s="9"/>
      <c r="J17" s="9"/>
      <c r="K17" s="9"/>
      <c r="L17" s="9">
        <f t="shared" si="1"/>
        <v>0</v>
      </c>
      <c r="M17" s="9"/>
    </row>
    <row r="18" spans="1:13" ht="44.85" customHeight="1">
      <c r="A18" s="7"/>
      <c r="B18" s="10"/>
      <c r="C18" s="11"/>
      <c r="D18" s="11"/>
      <c r="E18" s="11"/>
      <c r="F18" s="11"/>
      <c r="G18" s="11"/>
      <c r="H18" s="9">
        <f t="shared" si="0"/>
        <v>0</v>
      </c>
      <c r="I18" s="11"/>
      <c r="J18" s="11"/>
      <c r="K18" s="11"/>
      <c r="L18" s="9">
        <f t="shared" si="1"/>
        <v>0</v>
      </c>
      <c r="M18" s="11"/>
    </row>
    <row r="19" spans="1:13" ht="44.85" customHeight="1">
      <c r="A19" s="7"/>
      <c r="B19" s="12"/>
      <c r="C19" s="11"/>
      <c r="D19" s="11"/>
      <c r="E19" s="11"/>
      <c r="F19" s="11"/>
      <c r="G19" s="11"/>
      <c r="H19" s="9">
        <f t="shared" si="0"/>
        <v>0</v>
      </c>
      <c r="I19" s="11"/>
      <c r="J19" s="11"/>
      <c r="K19" s="11"/>
      <c r="L19" s="9">
        <f t="shared" si="1"/>
        <v>0</v>
      </c>
      <c r="M19" s="11"/>
    </row>
    <row r="20" spans="1:13" ht="44.85" customHeight="1">
      <c r="A20" s="7"/>
      <c r="B20" s="8"/>
      <c r="C20" s="11"/>
      <c r="D20" s="11"/>
      <c r="E20" s="11"/>
      <c r="F20" s="11"/>
      <c r="G20" s="11"/>
      <c r="H20" s="9">
        <f t="shared" si="0"/>
        <v>0</v>
      </c>
      <c r="I20" s="11"/>
      <c r="J20" s="11"/>
      <c r="K20" s="11"/>
      <c r="L20" s="9">
        <f t="shared" si="1"/>
        <v>0</v>
      </c>
      <c r="M20" s="11"/>
    </row>
    <row r="21" spans="1:13" ht="44.85" customHeight="1">
      <c r="A21" s="7"/>
      <c r="B21" s="8"/>
      <c r="C21" s="11"/>
      <c r="D21" s="11"/>
      <c r="E21" s="11"/>
      <c r="F21" s="11"/>
      <c r="G21" s="11"/>
      <c r="H21" s="9">
        <f t="shared" si="0"/>
        <v>0</v>
      </c>
      <c r="I21" s="11"/>
      <c r="J21" s="11"/>
      <c r="K21" s="11"/>
      <c r="L21" s="9">
        <f t="shared" si="1"/>
        <v>0</v>
      </c>
      <c r="M21" s="11"/>
    </row>
    <row r="22" spans="1:13" ht="44.85" customHeight="1">
      <c r="A22" s="7"/>
      <c r="B22" s="10"/>
      <c r="C22" s="11"/>
      <c r="D22" s="11"/>
      <c r="E22" s="11"/>
      <c r="F22" s="11"/>
      <c r="G22" s="11"/>
      <c r="H22" s="9">
        <f t="shared" si="0"/>
        <v>0</v>
      </c>
      <c r="I22" s="11"/>
      <c r="J22" s="11"/>
      <c r="K22" s="11"/>
      <c r="L22" s="9">
        <f t="shared" si="1"/>
        <v>0</v>
      </c>
      <c r="M22" s="11"/>
    </row>
    <row r="23" spans="1:13" ht="44.85" customHeight="1">
      <c r="A23" s="7"/>
      <c r="B23" s="12"/>
      <c r="C23" s="11"/>
      <c r="D23" s="11"/>
      <c r="E23" s="11"/>
      <c r="F23" s="11"/>
      <c r="G23" s="11"/>
      <c r="H23" s="9">
        <f t="shared" si="0"/>
        <v>0</v>
      </c>
      <c r="I23" s="11"/>
      <c r="J23" s="11"/>
      <c r="K23" s="11"/>
      <c r="L23" s="9">
        <f t="shared" si="1"/>
        <v>0</v>
      </c>
      <c r="M23" s="11"/>
    </row>
    <row r="24" spans="1:13" ht="44.85" customHeight="1">
      <c r="A24" s="7"/>
      <c r="B24" s="8"/>
      <c r="C24" s="11"/>
      <c r="D24" s="11"/>
      <c r="E24" s="11"/>
      <c r="F24" s="11"/>
      <c r="G24" s="11"/>
      <c r="H24" s="9">
        <f t="shared" si="0"/>
        <v>0</v>
      </c>
      <c r="I24" s="11"/>
      <c r="J24" s="11"/>
      <c r="K24" s="11"/>
      <c r="L24" s="9">
        <f t="shared" si="1"/>
        <v>0</v>
      </c>
      <c r="M24" s="11"/>
    </row>
    <row r="25" spans="1:13" ht="44.85" customHeight="1">
      <c r="A25" s="7"/>
      <c r="B25" s="8"/>
      <c r="C25" s="11"/>
      <c r="D25" s="11"/>
      <c r="E25" s="11"/>
      <c r="F25" s="11"/>
      <c r="G25" s="11"/>
      <c r="H25" s="9">
        <f t="shared" si="0"/>
        <v>0</v>
      </c>
      <c r="I25" s="11"/>
      <c r="J25" s="11"/>
      <c r="K25" s="11"/>
      <c r="L25" s="9">
        <f t="shared" si="1"/>
        <v>0</v>
      </c>
      <c r="M25" s="11"/>
    </row>
    <row r="26" spans="1:13" ht="44.85" customHeight="1">
      <c r="A26" s="7"/>
      <c r="B26" s="10"/>
      <c r="C26" s="11"/>
      <c r="D26" s="11"/>
      <c r="E26" s="11"/>
      <c r="F26" s="11"/>
      <c r="G26" s="11"/>
      <c r="H26" s="9">
        <f t="shared" si="0"/>
        <v>0</v>
      </c>
      <c r="I26" s="11"/>
      <c r="J26" s="11"/>
      <c r="K26" s="11"/>
      <c r="L26" s="9">
        <f t="shared" si="1"/>
        <v>0</v>
      </c>
      <c r="M26" s="11"/>
    </row>
    <row r="27" spans="1:13" ht="44.85" customHeight="1">
      <c r="A27" s="7"/>
      <c r="B27" s="12"/>
      <c r="C27" s="11"/>
      <c r="D27" s="11"/>
      <c r="E27" s="11"/>
      <c r="F27" s="11"/>
      <c r="G27" s="11"/>
      <c r="H27" s="9">
        <f t="shared" si="0"/>
        <v>0</v>
      </c>
      <c r="I27" s="11"/>
      <c r="J27" s="11"/>
      <c r="K27" s="11"/>
      <c r="L27" s="9">
        <f t="shared" si="1"/>
        <v>0</v>
      </c>
      <c r="M27" s="11"/>
    </row>
    <row r="28" spans="1:13" s="15" customFormat="1" ht="12.75" customHeight="1">
      <c r="A28" s="13"/>
      <c r="B28" s="13"/>
      <c r="C28" s="14">
        <v>0.8</v>
      </c>
      <c r="D28" s="14">
        <v>0.8</v>
      </c>
      <c r="E28" s="14">
        <v>0.8</v>
      </c>
      <c r="F28" s="14">
        <v>0.8</v>
      </c>
      <c r="G28" s="14">
        <v>0.8</v>
      </c>
      <c r="H28" s="14">
        <v>0.8</v>
      </c>
      <c r="I28" s="14">
        <v>0.8</v>
      </c>
      <c r="J28" s="14">
        <v>0.8</v>
      </c>
      <c r="K28" s="14">
        <v>0.8</v>
      </c>
      <c r="L28" s="14">
        <v>0.8</v>
      </c>
      <c r="M28" s="14">
        <v>0.8</v>
      </c>
    </row>
    <row r="29" spans="1:13" ht="30" customHeight="1">
      <c r="A29" s="180"/>
      <c r="B29" s="180"/>
      <c r="C29" s="180"/>
      <c r="D29" s="180"/>
      <c r="E29" s="180"/>
      <c r="F29" s="180"/>
      <c r="G29" s="180"/>
      <c r="H29" s="180"/>
      <c r="I29" s="180"/>
      <c r="J29" s="180"/>
      <c r="K29" s="181"/>
      <c r="L29" s="181"/>
      <c r="M29" s="181"/>
    </row>
    <row r="30" spans="1:13" ht="36.6" customHeight="1">
      <c r="A30" s="16"/>
      <c r="B30" s="17"/>
      <c r="C30" s="17"/>
      <c r="D30" s="17"/>
      <c r="E30" s="17"/>
      <c r="F30" s="17"/>
      <c r="G30" s="17"/>
      <c r="H30" s="18"/>
      <c r="I30" s="18"/>
      <c r="J30" s="19"/>
      <c r="K30" s="182" t="s">
        <v>25</v>
      </c>
      <c r="L30" s="182"/>
      <c r="M30" s="182"/>
    </row>
    <row r="31" spans="1:13" ht="36.6" customHeight="1">
      <c r="A31" s="20"/>
      <c r="B31" s="21"/>
      <c r="C31" s="21"/>
      <c r="D31" s="21"/>
      <c r="E31" s="21"/>
      <c r="F31" s="21"/>
      <c r="G31" s="21"/>
      <c r="H31" s="22"/>
      <c r="I31" s="22"/>
      <c r="J31" s="23"/>
      <c r="K31" s="178" t="s">
        <v>26</v>
      </c>
      <c r="L31" s="178"/>
      <c r="M31" s="178"/>
    </row>
    <row r="32" spans="1:13" ht="36.6" customHeight="1">
      <c r="A32" s="24"/>
      <c r="B32" s="25"/>
      <c r="C32" s="25"/>
      <c r="D32" s="25"/>
      <c r="E32" s="25"/>
      <c r="F32" s="25"/>
      <c r="G32" s="25"/>
      <c r="H32" s="26"/>
      <c r="I32" s="26"/>
      <c r="J32" s="27"/>
      <c r="K32" s="178" t="s">
        <v>27</v>
      </c>
      <c r="L32" s="178"/>
      <c r="M32" s="178"/>
    </row>
    <row r="40" ht="12.75" customHeight="1"/>
  </sheetData>
  <sheetProtection selectLockedCells="1" selectUnlockedCells="1"/>
  <mergeCells count="19">
    <mergeCell ref="A1:M3"/>
    <mergeCell ref="A4:M6"/>
    <mergeCell ref="A7:M7"/>
    <mergeCell ref="A8:M8"/>
    <mergeCell ref="A9:C9"/>
    <mergeCell ref="D9:I9"/>
    <mergeCell ref="J9:L9"/>
    <mergeCell ref="A10:C10"/>
    <mergeCell ref="D10:I10"/>
    <mergeCell ref="J10:L10"/>
    <mergeCell ref="A11:C11"/>
    <mergeCell ref="D11:I11"/>
    <mergeCell ref="J11:L11"/>
    <mergeCell ref="K32:M32"/>
    <mergeCell ref="A13:M13"/>
    <mergeCell ref="A29:J29"/>
    <mergeCell ref="K29:M29"/>
    <mergeCell ref="K30:M30"/>
    <mergeCell ref="K31:M31"/>
  </mergeCells>
  <dataValidations count="2">
    <dataValidation type="list" operator="equal" allowBlank="1" showErrorMessage="1" sqref="M9">
      <formula1>"EFICACIA,EFICIENCIA,EFECTIVIDAD"</formula1>
      <formula2>0</formula2>
    </dataValidation>
    <dataValidation operator="equal" allowBlank="1" showErrorMessage="1" errorTitle="Seleccionar un valor de la lista" sqref="F15:M27">
      <formula1>0</formula1>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topLeftCell="A10" zoomScale="75" zoomScaleNormal="75" workbookViewId="0">
      <selection activeCell="K15" sqref="K15"/>
    </sheetView>
  </sheetViews>
  <sheetFormatPr baseColWidth="10" defaultRowHeight="14.65" customHeight="1"/>
  <cols>
    <col min="1" max="1" width="10.7109375" style="1" customWidth="1"/>
    <col min="2" max="2" width="9.140625" style="1" customWidth="1"/>
    <col min="3" max="3" width="21.85546875" style="1" customWidth="1"/>
    <col min="4" max="4" width="11.5703125" style="1" customWidth="1"/>
    <col min="5" max="5" width="22.7109375" style="1" customWidth="1"/>
    <col min="6" max="6" width="22.42578125" style="1" customWidth="1"/>
    <col min="7" max="12" width="10.7109375" style="1" customWidth="1"/>
    <col min="13" max="13" width="13.7109375" style="1" customWidth="1"/>
    <col min="14" max="14" width="16.28515625" style="1" customWidth="1"/>
    <col min="15" max="15" width="16.140625" style="1" customWidth="1"/>
    <col min="16" max="16" width="2.7109375" style="1" customWidth="1"/>
    <col min="17" max="16384" width="11.42578125" style="1"/>
  </cols>
  <sheetData>
    <row r="1" spans="1:256" s="3" customFormat="1" ht="13.9" customHeight="1">
      <c r="A1" s="184" t="s">
        <v>0</v>
      </c>
      <c r="B1" s="184"/>
      <c r="C1" s="184"/>
      <c r="D1" s="184"/>
      <c r="E1" s="184"/>
      <c r="F1" s="184"/>
      <c r="G1" s="184"/>
      <c r="H1" s="184"/>
      <c r="I1" s="184"/>
      <c r="J1" s="184"/>
      <c r="K1" s="184"/>
      <c r="L1" s="184"/>
      <c r="M1" s="184"/>
      <c r="N1" s="184"/>
      <c r="O1" s="184"/>
      <c r="P1" s="87"/>
    </row>
    <row r="2" spans="1:256" s="3" customFormat="1" ht="13.9" customHeight="1">
      <c r="A2" s="184"/>
      <c r="B2" s="184"/>
      <c r="C2" s="184"/>
      <c r="D2" s="184"/>
      <c r="E2" s="184"/>
      <c r="F2" s="184"/>
      <c r="G2" s="184"/>
      <c r="H2" s="184"/>
      <c r="I2" s="184"/>
      <c r="J2" s="184"/>
      <c r="K2" s="184"/>
      <c r="L2" s="184"/>
      <c r="M2" s="184"/>
      <c r="N2" s="184"/>
      <c r="O2" s="184"/>
      <c r="P2" s="87"/>
    </row>
    <row r="3" spans="1:256" s="3" customFormat="1" ht="13.9" customHeight="1">
      <c r="A3" s="184"/>
      <c r="B3" s="184"/>
      <c r="C3" s="184"/>
      <c r="D3" s="184"/>
      <c r="E3" s="184"/>
      <c r="F3" s="184"/>
      <c r="G3" s="184"/>
      <c r="H3" s="184"/>
      <c r="I3" s="184"/>
      <c r="J3" s="184"/>
      <c r="K3" s="184"/>
      <c r="L3" s="184"/>
      <c r="M3" s="184"/>
      <c r="N3" s="184"/>
      <c r="O3" s="184"/>
      <c r="P3" s="87"/>
    </row>
    <row r="4" spans="1:256" s="3" customFormat="1" ht="13.9" customHeight="1">
      <c r="A4" s="184" t="s">
        <v>1</v>
      </c>
      <c r="B4" s="184"/>
      <c r="C4" s="184"/>
      <c r="D4" s="184"/>
      <c r="E4" s="184"/>
      <c r="F4" s="184"/>
      <c r="G4" s="184"/>
      <c r="H4" s="184"/>
      <c r="I4" s="184"/>
      <c r="J4" s="184"/>
      <c r="K4" s="184"/>
      <c r="L4" s="184"/>
      <c r="M4" s="184"/>
      <c r="N4" s="184"/>
      <c r="O4" s="184"/>
      <c r="P4" s="87"/>
    </row>
    <row r="5" spans="1:256" s="3" customFormat="1" ht="13.9" customHeight="1">
      <c r="A5" s="184"/>
      <c r="B5" s="184"/>
      <c r="C5" s="184"/>
      <c r="D5" s="184"/>
      <c r="E5" s="184"/>
      <c r="F5" s="184"/>
      <c r="G5" s="184"/>
      <c r="H5" s="184"/>
      <c r="I5" s="184"/>
      <c r="J5" s="184"/>
      <c r="K5" s="184"/>
      <c r="L5" s="184"/>
      <c r="M5" s="184"/>
      <c r="N5" s="184"/>
      <c r="O5" s="184"/>
      <c r="P5" s="87"/>
    </row>
    <row r="6" spans="1:256" s="3" customFormat="1" ht="13.9" customHeight="1">
      <c r="A6" s="184"/>
      <c r="B6" s="184"/>
      <c r="C6" s="184"/>
      <c r="D6" s="184"/>
      <c r="E6" s="184"/>
      <c r="F6" s="184"/>
      <c r="G6" s="184"/>
      <c r="H6" s="184"/>
      <c r="I6" s="184"/>
      <c r="J6" s="184"/>
      <c r="K6" s="184"/>
      <c r="L6" s="184"/>
      <c r="M6" s="184"/>
      <c r="N6" s="184"/>
      <c r="O6" s="184"/>
      <c r="P6" s="87"/>
    </row>
    <row r="7" spans="1:256" s="3" customFormat="1" ht="12.75" customHeight="1">
      <c r="A7" s="185"/>
      <c r="B7" s="185"/>
      <c r="C7" s="185"/>
      <c r="D7" s="185"/>
      <c r="E7" s="185"/>
      <c r="F7" s="185"/>
      <c r="G7" s="185"/>
      <c r="H7" s="185"/>
      <c r="I7" s="185"/>
      <c r="J7" s="185"/>
      <c r="K7" s="185"/>
      <c r="L7" s="185"/>
      <c r="M7" s="185"/>
      <c r="N7" s="185"/>
      <c r="O7" s="185"/>
    </row>
    <row r="8" spans="1:256" ht="30" customHeight="1">
      <c r="A8" s="179" t="s">
        <v>2</v>
      </c>
      <c r="B8" s="179"/>
      <c r="C8" s="179"/>
      <c r="D8" s="179"/>
      <c r="E8" s="179"/>
      <c r="F8" s="179"/>
      <c r="G8" s="179"/>
      <c r="H8" s="179"/>
      <c r="I8" s="179"/>
      <c r="J8" s="179"/>
      <c r="K8" s="179"/>
      <c r="L8" s="179"/>
      <c r="M8" s="179"/>
      <c r="N8" s="179"/>
      <c r="O8" s="179"/>
    </row>
    <row r="9" spans="1:256" ht="42" customHeight="1">
      <c r="A9" s="182" t="s">
        <v>3</v>
      </c>
      <c r="B9" s="182"/>
      <c r="C9" s="182"/>
      <c r="D9" s="209" t="s">
        <v>189</v>
      </c>
      <c r="E9" s="209"/>
      <c r="F9" s="209"/>
      <c r="G9" s="209"/>
      <c r="H9" s="209"/>
      <c r="I9" s="182" t="s">
        <v>5</v>
      </c>
      <c r="J9" s="182"/>
      <c r="K9" s="201" t="s">
        <v>90</v>
      </c>
      <c r="L9" s="201"/>
      <c r="M9" s="201"/>
      <c r="N9" s="201"/>
      <c r="O9" s="201"/>
    </row>
    <row r="10" spans="1:256" ht="42" customHeight="1">
      <c r="A10" s="182" t="s">
        <v>7</v>
      </c>
      <c r="B10" s="182"/>
      <c r="C10" s="182"/>
      <c r="D10" s="183" t="s">
        <v>8</v>
      </c>
      <c r="E10" s="183"/>
      <c r="F10" s="183"/>
      <c r="G10" s="183"/>
      <c r="H10" s="183"/>
      <c r="I10" s="182" t="s">
        <v>9</v>
      </c>
      <c r="J10" s="182"/>
      <c r="K10" s="201" t="s">
        <v>10</v>
      </c>
      <c r="L10" s="201"/>
      <c r="M10" s="201"/>
      <c r="N10" s="201"/>
      <c r="O10" s="201"/>
    </row>
    <row r="11" spans="1:256" ht="52.9" customHeight="1">
      <c r="A11" s="182" t="s">
        <v>11</v>
      </c>
      <c r="B11" s="182"/>
      <c r="C11" s="182"/>
      <c r="D11" s="209" t="s">
        <v>91</v>
      </c>
      <c r="E11" s="209"/>
      <c r="F11" s="209"/>
      <c r="G11" s="209"/>
      <c r="H11" s="209"/>
      <c r="I11" s="182" t="s">
        <v>32</v>
      </c>
      <c r="J11" s="182"/>
      <c r="K11" s="201" t="s">
        <v>33</v>
      </c>
      <c r="L11" s="201"/>
      <c r="M11" s="201"/>
      <c r="N11" s="201"/>
      <c r="O11" s="201"/>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52</v>
      </c>
      <c r="B13" s="179"/>
      <c r="C13" s="179"/>
      <c r="D13" s="179"/>
      <c r="E13" s="179"/>
      <c r="F13" s="179"/>
      <c r="G13" s="179"/>
      <c r="H13" s="179"/>
      <c r="I13" s="179"/>
      <c r="J13" s="179"/>
      <c r="K13" s="179"/>
      <c r="L13" s="179"/>
      <c r="M13" s="179"/>
      <c r="N13" s="179"/>
      <c r="O13" s="179"/>
    </row>
    <row r="14" spans="1:256" ht="45" customHeight="1">
      <c r="A14" s="4" t="s">
        <v>53</v>
      </c>
      <c r="B14" s="4" t="s">
        <v>93</v>
      </c>
      <c r="C14" s="6" t="s">
        <v>94</v>
      </c>
      <c r="D14" s="6" t="s">
        <v>180</v>
      </c>
      <c r="E14" s="6" t="s">
        <v>96</v>
      </c>
      <c r="F14" s="6" t="s">
        <v>185</v>
      </c>
      <c r="G14" s="6">
        <v>2016</v>
      </c>
      <c r="H14" s="4">
        <v>2017</v>
      </c>
      <c r="I14" s="4">
        <v>2018</v>
      </c>
      <c r="J14" s="4">
        <v>2019</v>
      </c>
      <c r="K14" s="4">
        <v>2020</v>
      </c>
      <c r="L14" s="4" t="s">
        <v>181</v>
      </c>
      <c r="M14" s="4" t="s">
        <v>159</v>
      </c>
      <c r="N14" s="4" t="s">
        <v>190</v>
      </c>
      <c r="O14" s="4" t="s">
        <v>191</v>
      </c>
    </row>
    <row r="15" spans="1:256" ht="15" customHeight="1">
      <c r="A15" s="178">
        <v>2017</v>
      </c>
      <c r="B15" s="178">
        <v>914</v>
      </c>
      <c r="C15" s="7" t="s">
        <v>100</v>
      </c>
      <c r="D15" s="77">
        <v>92000</v>
      </c>
      <c r="E15" s="38" t="s">
        <v>101</v>
      </c>
      <c r="F15" s="9" t="s">
        <v>186</v>
      </c>
      <c r="G15" s="33">
        <f>+'Avance Acumulado Metas PDD'!G15/$D15</f>
        <v>0</v>
      </c>
      <c r="H15" s="33">
        <f>+'Avance Acumulado Metas PDD'!H15/$D15</f>
        <v>0.34054347826086956</v>
      </c>
      <c r="I15" s="33">
        <f>+'Avance Acumulado Metas PDD'!I15/$D15</f>
        <v>0.50624999999999998</v>
      </c>
      <c r="J15" s="33">
        <f>+'Avance Acumulado Metas PDD'!J15/$D15</f>
        <v>0.86985869565217389</v>
      </c>
      <c r="K15" s="33">
        <f>+'Avance Acumulado Metas PDD'!K15/$D15</f>
        <v>0.46614130434782608</v>
      </c>
      <c r="L15" s="33">
        <f>+'Avance Acumulado Metas PDD'!L15/$D15</f>
        <v>0.46614130434782608</v>
      </c>
      <c r="M15" s="33">
        <f t="shared" ref="M15:M21" si="0">+L15/4</f>
        <v>0.11653532608695652</v>
      </c>
      <c r="N15" s="46">
        <v>0.7</v>
      </c>
      <c r="O15" s="208">
        <f>+L15*N15+L16*N16</f>
        <v>0.64504891304347822</v>
      </c>
    </row>
    <row r="16" spans="1:256" ht="15" customHeight="1">
      <c r="A16" s="178"/>
      <c r="B16" s="178"/>
      <c r="C16" s="7" t="s">
        <v>102</v>
      </c>
      <c r="D16" s="77">
        <v>80</v>
      </c>
      <c r="E16" s="38" t="s">
        <v>103</v>
      </c>
      <c r="F16" s="9" t="s">
        <v>187</v>
      </c>
      <c r="G16" s="33">
        <f>+'Avance Acumulado Metas PDD'!G16/$D16</f>
        <v>0</v>
      </c>
      <c r="H16" s="33">
        <f>+'Avance Acumulado Metas PDD'!H16/$D16</f>
        <v>0.13750000000000001</v>
      </c>
      <c r="I16" s="33">
        <f>+'Avance Acumulado Metas PDD'!I16/$D16</f>
        <v>0.05</v>
      </c>
      <c r="J16" s="33">
        <f>+'Avance Acumulado Metas PDD'!J16/$D16</f>
        <v>1.0625</v>
      </c>
      <c r="K16" s="33">
        <f>+'Avance Acumulado Metas PDD'!K16/$D16</f>
        <v>1.0625</v>
      </c>
      <c r="L16" s="33">
        <f>+'Avance Acumulado Metas PDD'!L16/$D16</f>
        <v>1.0625</v>
      </c>
      <c r="M16" s="33">
        <f t="shared" si="0"/>
        <v>0.265625</v>
      </c>
      <c r="N16" s="46">
        <v>0.30000000000000004</v>
      </c>
      <c r="O16" s="208"/>
    </row>
    <row r="17" spans="1:18" ht="15" customHeight="1">
      <c r="A17" s="178"/>
      <c r="B17" s="178">
        <v>915</v>
      </c>
      <c r="C17" s="7" t="s">
        <v>104</v>
      </c>
      <c r="D17" s="77">
        <v>65216</v>
      </c>
      <c r="E17" s="38" t="s">
        <v>105</v>
      </c>
      <c r="F17" s="9" t="s">
        <v>186</v>
      </c>
      <c r="G17" s="33">
        <f>+'Avance Acumulado Metas PDD'!G17/$D17</f>
        <v>0</v>
      </c>
      <c r="H17" s="33">
        <f>+'Avance Acumulado Metas PDD'!H17/$D17</f>
        <v>0.21827465652600589</v>
      </c>
      <c r="I17" s="33">
        <f>+'Avance Acumulado Metas PDD'!I17/$D17</f>
        <v>0.55520117762512267</v>
      </c>
      <c r="J17" s="33">
        <f>+'Avance Acumulado Metas PDD'!J17/$D17</f>
        <v>0.90407262021589796</v>
      </c>
      <c r="K17" s="33">
        <f>+'Avance Acumulado Metas PDD'!K17/$D17</f>
        <v>0.75035267419038276</v>
      </c>
      <c r="L17" s="33">
        <f>+'Avance Acumulado Metas PDD'!L17/$D17</f>
        <v>0.75035267419038276</v>
      </c>
      <c r="M17" s="33">
        <f t="shared" si="0"/>
        <v>0.18758816854759569</v>
      </c>
      <c r="N17" s="33">
        <v>0.7</v>
      </c>
      <c r="O17" s="208">
        <f>+L17*N17+L18*N18</f>
        <v>0.84524687193326797</v>
      </c>
    </row>
    <row r="18" spans="1:18" ht="30" customHeight="1">
      <c r="A18" s="178"/>
      <c r="B18" s="178"/>
      <c r="C18" s="7" t="s">
        <v>106</v>
      </c>
      <c r="D18" s="77">
        <v>150</v>
      </c>
      <c r="E18" s="38" t="s">
        <v>107</v>
      </c>
      <c r="F18" s="9" t="s">
        <v>187</v>
      </c>
      <c r="G18" s="33">
        <f>+'Avance Acumulado Metas PDD'!G18/$D18</f>
        <v>0</v>
      </c>
      <c r="H18" s="33">
        <f>+'Avance Acumulado Metas PDD'!H18/$D18</f>
        <v>0.27333333333333332</v>
      </c>
      <c r="I18" s="33">
        <f>+'Avance Acumulado Metas PDD'!I18/$D18</f>
        <v>0.27333333333333332</v>
      </c>
      <c r="J18" s="33">
        <f>+'Avance Acumulado Metas PDD'!J18/$D18</f>
        <v>0.28000000000000003</v>
      </c>
      <c r="K18" s="33">
        <f>+'Avance Acumulado Metas PDD'!K18/$D18</f>
        <v>0.24</v>
      </c>
      <c r="L18" s="33">
        <f>+'Avance Acumulado Metas PDD'!L18/$D18</f>
        <v>1.0666666666666667</v>
      </c>
      <c r="M18" s="33">
        <f t="shared" si="0"/>
        <v>0.26666666666666666</v>
      </c>
      <c r="N18" s="33">
        <v>0.30000000000000004</v>
      </c>
      <c r="O18" s="208"/>
    </row>
    <row r="19" spans="1:18" ht="15" customHeight="1">
      <c r="A19" s="178"/>
      <c r="B19" s="178">
        <v>772</v>
      </c>
      <c r="C19" s="7" t="s">
        <v>108</v>
      </c>
      <c r="D19" s="77">
        <v>6</v>
      </c>
      <c r="E19" s="38" t="s">
        <v>109</v>
      </c>
      <c r="F19" s="9" t="s">
        <v>186</v>
      </c>
      <c r="G19" s="33">
        <f>+'Avance Acumulado Metas PDD'!G19/$D19</f>
        <v>0</v>
      </c>
      <c r="H19" s="33">
        <f>+'Avance Acumulado Metas PDD'!H19/$D19</f>
        <v>0.33333333333333331</v>
      </c>
      <c r="I19" s="33">
        <f>+'Avance Acumulado Metas PDD'!I19/$D19</f>
        <v>0.5</v>
      </c>
      <c r="J19" s="33">
        <f>+'Avance Acumulado Metas PDD'!J19/$D19</f>
        <v>0.83333333333333337</v>
      </c>
      <c r="K19" s="33">
        <f>+'Avance Acumulado Metas PDD'!K19/$D19</f>
        <v>0.33333333333333331</v>
      </c>
      <c r="L19" s="33">
        <f>+'Avance Acumulado Metas PDD'!L19/$D19</f>
        <v>0.33333333333333331</v>
      </c>
      <c r="M19" s="33">
        <f t="shared" si="0"/>
        <v>8.3333333333333329E-2</v>
      </c>
      <c r="N19" s="33">
        <v>0.4</v>
      </c>
      <c r="O19" s="208">
        <f>+L19*N19+L20*N20+L21*N21</f>
        <v>0.76833333333333331</v>
      </c>
    </row>
    <row r="20" spans="1:18" ht="15" customHeight="1">
      <c r="A20" s="178"/>
      <c r="B20" s="178"/>
      <c r="C20" s="7" t="s">
        <v>110</v>
      </c>
      <c r="D20" s="77">
        <v>100</v>
      </c>
      <c r="E20" s="38" t="s">
        <v>111</v>
      </c>
      <c r="F20" s="9" t="s">
        <v>187</v>
      </c>
      <c r="G20" s="33">
        <f>+'Avance Acumulado Metas PDD'!G20/$D20</f>
        <v>0</v>
      </c>
      <c r="H20" s="33">
        <f>+'Avance Acumulado Metas PDD'!H20/$D20</f>
        <v>0.25</v>
      </c>
      <c r="I20" s="33">
        <f>+'Avance Acumulado Metas PDD'!I20/$D20</f>
        <v>0.25</v>
      </c>
      <c r="J20" s="33">
        <f>+'Avance Acumulado Metas PDD'!J20/$D20</f>
        <v>0.56000000000000005</v>
      </c>
      <c r="K20" s="33">
        <f>+'Avance Acumulado Metas PDD'!K20/$D20</f>
        <v>0.05</v>
      </c>
      <c r="L20" s="33">
        <f>+'Avance Acumulado Metas PDD'!L20/$D20</f>
        <v>1.1100000000000001</v>
      </c>
      <c r="M20" s="33">
        <f t="shared" si="0"/>
        <v>0.27750000000000002</v>
      </c>
      <c r="N20" s="33">
        <v>0.5</v>
      </c>
      <c r="O20" s="208"/>
    </row>
    <row r="21" spans="1:18" ht="15" customHeight="1">
      <c r="A21" s="178"/>
      <c r="B21" s="178"/>
      <c r="C21" s="7" t="s">
        <v>110</v>
      </c>
      <c r="D21" s="77">
        <v>5</v>
      </c>
      <c r="E21" s="38" t="s">
        <v>112</v>
      </c>
      <c r="F21" s="9" t="s">
        <v>187</v>
      </c>
      <c r="G21" s="33">
        <f>+'Avance Acumulado Metas PDD'!G21/$D21</f>
        <v>0</v>
      </c>
      <c r="H21" s="33">
        <f>+'Avance Acumulado Metas PDD'!H21/$D21</f>
        <v>0.2</v>
      </c>
      <c r="I21" s="33">
        <f>+'Avance Acumulado Metas PDD'!I21/$D21</f>
        <v>0.2</v>
      </c>
      <c r="J21" s="33">
        <f>+'Avance Acumulado Metas PDD'!J21/$D21</f>
        <v>0.4</v>
      </c>
      <c r="K21" s="33">
        <f>+'Avance Acumulado Metas PDD'!K21/$D21</f>
        <v>0</v>
      </c>
      <c r="L21" s="33">
        <f>+'Avance Acumulado Metas PDD'!L21/$D21</f>
        <v>0.8</v>
      </c>
      <c r="M21" s="33">
        <f t="shared" si="0"/>
        <v>0.2</v>
      </c>
      <c r="N21" s="33">
        <v>0.1</v>
      </c>
      <c r="O21" s="208"/>
    </row>
    <row r="22" spans="1:18" ht="15" customHeight="1">
      <c r="A22" s="178"/>
      <c r="B22" s="178">
        <v>795</v>
      </c>
      <c r="C22" s="7" t="s">
        <v>113</v>
      </c>
      <c r="D22" s="78">
        <v>1140000</v>
      </c>
      <c r="E22" s="38" t="s">
        <v>114</v>
      </c>
      <c r="F22" s="9" t="s">
        <v>188</v>
      </c>
      <c r="G22" s="33">
        <f>+'Avance Acumulado Metas PDD'!G22/$D22</f>
        <v>0.92278157894736845</v>
      </c>
      <c r="H22" s="33">
        <f>+'Avance Acumulado Metas PDD'!H22/$D22</f>
        <v>0.91930789473684216</v>
      </c>
      <c r="I22" s="33">
        <f>+'Avance Acumulado Metas PDD'!I22/$D22</f>
        <v>1.4742500000000001</v>
      </c>
      <c r="J22" s="33">
        <f>+'Avance Acumulado Metas PDD'!J22/$D22</f>
        <v>1.5249131578947368</v>
      </c>
      <c r="K22" s="33">
        <f>+'Avance Acumulado Metas PDD'!K22/$D22</f>
        <v>0.24367280701754385</v>
      </c>
      <c r="L22" s="33">
        <f>+'Avance Acumulado Metas PDD'!L22/$D22</f>
        <v>1.5249131578947368</v>
      </c>
      <c r="M22" s="33">
        <f>+L22/5</f>
        <v>0.30498263157894734</v>
      </c>
      <c r="N22" s="33">
        <v>0.2</v>
      </c>
      <c r="O22" s="208">
        <f>+L22*N22+L23*N23+L25*N25+L26*N26+L27*N27+L24*N24</f>
        <v>1.1851025387150718</v>
      </c>
    </row>
    <row r="23" spans="1:18" ht="15" customHeight="1">
      <c r="A23" s="178"/>
      <c r="B23" s="178"/>
      <c r="C23" s="7" t="s">
        <v>110</v>
      </c>
      <c r="D23" s="78">
        <v>2486</v>
      </c>
      <c r="E23" s="38" t="s">
        <v>119</v>
      </c>
      <c r="F23" s="9" t="s">
        <v>187</v>
      </c>
      <c r="G23" s="33">
        <f>+'Avance Acumulado Metas PDD'!G23/$D23</f>
        <v>0.18222043443282382</v>
      </c>
      <c r="H23" s="33">
        <f>+'Avance Acumulado Metas PDD'!H23/$D23</f>
        <v>0.26226870474658087</v>
      </c>
      <c r="I23" s="33">
        <f>+'Avance Acumulado Metas PDD'!I23/$D23</f>
        <v>0.23089300080450523</v>
      </c>
      <c r="J23" s="33">
        <f>+'Avance Acumulado Metas PDD'!J23/$D23</f>
        <v>0.31415929203539822</v>
      </c>
      <c r="K23" s="33">
        <f>+'Avance Acumulado Metas PDD'!K23/$D23</f>
        <v>4.9477071600965407E-2</v>
      </c>
      <c r="L23" s="33">
        <f>+'Avance Acumulado Metas PDD'!L23/$D23</f>
        <v>1.0390185036202735</v>
      </c>
      <c r="M23" s="33">
        <f>+L23/5</f>
        <v>0.20780370072405469</v>
      </c>
      <c r="N23" s="33">
        <v>0.2</v>
      </c>
      <c r="O23" s="208"/>
    </row>
    <row r="24" spans="1:18" ht="12.75" customHeight="1">
      <c r="A24" s="178"/>
      <c r="B24" s="178"/>
      <c r="C24" s="7" t="s">
        <v>183</v>
      </c>
      <c r="D24" s="79">
        <v>0.2</v>
      </c>
      <c r="E24" s="38" t="s">
        <v>184</v>
      </c>
      <c r="F24" s="9" t="s">
        <v>188</v>
      </c>
      <c r="G24" s="33">
        <f>+'Avance Acumulado Metas PDD'!G24/$D24</f>
        <v>0</v>
      </c>
      <c r="H24" s="33">
        <f>+'Avance Acumulado Metas PDD'!H24/$D24</f>
        <v>0</v>
      </c>
      <c r="I24" s="33">
        <f>+'Avance Acumulado Metas PDD'!I24/$D24</f>
        <v>1.3925000000000001</v>
      </c>
      <c r="J24" s="33">
        <f>+('Avance Acumulado Metas PDD'!J24+'Avance Acumulado Metas PDD'!I24)/(2*'Avance Acumulado Metas PDD'!D24)</f>
        <v>1.19625</v>
      </c>
      <c r="K24" s="33">
        <f>+('Avance Acumulado Metas PDD'!I24+'Avance Acumulado Metas PDD'!J24+'Avance Acumulado Metas PDD'!K24)/(3*'Avance Acumulado Metas PDD'!D24)</f>
        <v>0.89749999999999985</v>
      </c>
      <c r="L24" s="33">
        <f>+'Avance Acumulado Metas PDD'!L24</f>
        <v>1.626252</v>
      </c>
      <c r="M24" s="33">
        <f>+(L24-1)/3</f>
        <v>0.20875066666666667</v>
      </c>
      <c r="N24" s="33">
        <v>0.15</v>
      </c>
      <c r="O24" s="208"/>
      <c r="R24" s="1">
        <f>+(1+I24)*(1+J24)*(1+K24)</f>
        <v>9.9704671171874999</v>
      </c>
    </row>
    <row r="25" spans="1:18" ht="12.75" customHeight="1">
      <c r="A25" s="178"/>
      <c r="B25" s="178"/>
      <c r="C25" s="42" t="s">
        <v>122</v>
      </c>
      <c r="D25" s="78">
        <v>303000</v>
      </c>
      <c r="E25" s="38" t="s">
        <v>116</v>
      </c>
      <c r="F25" s="9" t="s">
        <v>187</v>
      </c>
      <c r="G25" s="33">
        <f>+'Avance Acumulado Metas PDD'!G25/$D25</f>
        <v>0.15032343234323434</v>
      </c>
      <c r="H25" s="33">
        <f>+'Avance Acumulado Metas PDD'!H25/$D25</f>
        <v>0.21468646864686469</v>
      </c>
      <c r="I25" s="33">
        <f>+'Avance Acumulado Metas PDD'!I25/$D25</f>
        <v>0.23486798679867987</v>
      </c>
      <c r="J25" s="33">
        <f>+'Avance Acumulado Metas PDD'!J25/$D25</f>
        <v>0.33104620462046203</v>
      </c>
      <c r="K25" s="33">
        <f>+'Avance Acumulado Metas PDD'!K25/$D25</f>
        <v>0.10382508250825083</v>
      </c>
      <c r="L25" s="33">
        <f>+'Avance Acumulado Metas PDD'!L25/$D25</f>
        <v>1.0347491749174917</v>
      </c>
      <c r="M25" s="33">
        <f>+L25/5</f>
        <v>0.20694983498349834</v>
      </c>
      <c r="N25" s="33">
        <v>0.2</v>
      </c>
      <c r="O25" s="208"/>
    </row>
    <row r="26" spans="1:18" ht="12.75" customHeight="1">
      <c r="A26" s="178"/>
      <c r="B26" s="178"/>
      <c r="C26" s="42" t="s">
        <v>123</v>
      </c>
      <c r="D26" s="78">
        <v>50</v>
      </c>
      <c r="E26" s="38" t="s">
        <v>124</v>
      </c>
      <c r="F26" s="9" t="s">
        <v>187</v>
      </c>
      <c r="G26" s="33">
        <f>+'Avance Acumulado Metas PDD'!G26/$D26</f>
        <v>0.02</v>
      </c>
      <c r="H26" s="33">
        <f>+'Avance Acumulado Metas PDD'!H26/$D26</f>
        <v>0.28000000000000003</v>
      </c>
      <c r="I26" s="33">
        <f>+'Avance Acumulado Metas PDD'!I26/$D26</f>
        <v>0.5</v>
      </c>
      <c r="J26" s="33">
        <f>+'Avance Acumulado Metas PDD'!J26/$D26</f>
        <v>0.2</v>
      </c>
      <c r="K26" s="33">
        <f>+'Avance Acumulado Metas PDD'!K26/$D26</f>
        <v>0</v>
      </c>
      <c r="L26" s="33">
        <f>+'Avance Acumulado Metas PDD'!L26/$D26</f>
        <v>1</v>
      </c>
      <c r="M26" s="33">
        <f>+L26/4</f>
        <v>0.25</v>
      </c>
      <c r="N26" s="33">
        <v>0.15</v>
      </c>
      <c r="O26" s="208"/>
    </row>
    <row r="27" spans="1:18" ht="12.75" customHeight="1">
      <c r="A27" s="178"/>
      <c r="B27" s="178"/>
      <c r="C27" s="42" t="s">
        <v>164</v>
      </c>
      <c r="D27" s="78">
        <v>7</v>
      </c>
      <c r="E27" s="38" t="s">
        <v>126</v>
      </c>
      <c r="F27" s="9" t="s">
        <v>186</v>
      </c>
      <c r="G27" s="33">
        <f>+'Avance Acumulado Metas PDD'!G27/$D27</f>
        <v>0.14285714285714285</v>
      </c>
      <c r="H27" s="33">
        <f>+'Avance Acumulado Metas PDD'!H27/$D27</f>
        <v>0.5714285714285714</v>
      </c>
      <c r="I27" s="33">
        <f>+'Avance Acumulado Metas PDD'!I27/$D27</f>
        <v>0.5714285714285714</v>
      </c>
      <c r="J27" s="33">
        <f>+'Avance Acumulado Metas PDD'!J27/$D27</f>
        <v>0.7142857142857143</v>
      </c>
      <c r="K27" s="33">
        <f>+'Avance Acumulado Metas PDD'!K27/$D27</f>
        <v>0</v>
      </c>
      <c r="L27" s="33">
        <f>+'Avance Acumulado Metas PDD'!L27/$D27</f>
        <v>0.7142857142857143</v>
      </c>
      <c r="M27" s="33">
        <f>+L27/5</f>
        <v>0.14285714285714285</v>
      </c>
      <c r="N27" s="33">
        <v>0.1</v>
      </c>
      <c r="O27" s="208"/>
    </row>
    <row r="28" spans="1:18" ht="12.75" customHeight="1">
      <c r="A28" s="178"/>
      <c r="B28" s="178">
        <v>783</v>
      </c>
      <c r="C28" s="7" t="s">
        <v>129</v>
      </c>
      <c r="D28" s="79">
        <v>0.499</v>
      </c>
      <c r="E28" s="38" t="s">
        <v>130</v>
      </c>
      <c r="F28" s="9" t="s">
        <v>186</v>
      </c>
      <c r="G28" s="33">
        <f>+'Avance Acumulado Metas PDD'!G28/$D28</f>
        <v>0.20040080160320642</v>
      </c>
      <c r="H28" s="33">
        <f>+'Avance Acumulado Metas PDD'!H28/$D28</f>
        <v>0.32585170340681363</v>
      </c>
      <c r="I28" s="33">
        <f>+'Avance Acumulado Metas PDD'!I28/$D28</f>
        <v>0.57054108216432864</v>
      </c>
      <c r="J28" s="33">
        <f>+'Avance Acumulado Metas PDD'!J28/$D28</f>
        <v>0.75150300601202402</v>
      </c>
      <c r="K28" s="33">
        <f>+'Avance Acumulado Metas PDD'!K28/$D28</f>
        <v>0.83286573146292586</v>
      </c>
      <c r="L28" s="33">
        <f>+'Avance Acumulado Metas PDD'!L28/$D28</f>
        <v>0.83286573146292586</v>
      </c>
      <c r="M28" s="33">
        <f>+L28/5</f>
        <v>0.16657314629258518</v>
      </c>
      <c r="N28" s="33">
        <v>0.2</v>
      </c>
      <c r="O28" s="208">
        <f>+L28*N28+L29*N29+L30*N30</f>
        <v>1.4834133724830614</v>
      </c>
    </row>
    <row r="29" spans="1:18" ht="12.75" customHeight="1">
      <c r="A29" s="178"/>
      <c r="B29" s="178"/>
      <c r="C29" s="42" t="s">
        <v>131</v>
      </c>
      <c r="D29" s="78">
        <v>300000</v>
      </c>
      <c r="E29" s="38" t="s">
        <v>116</v>
      </c>
      <c r="F29" s="9" t="s">
        <v>188</v>
      </c>
      <c r="G29" s="33">
        <f>+'Avance Acumulado Metas PDD'!G29/$D29</f>
        <v>0</v>
      </c>
      <c r="H29" s="33">
        <f>+'Avance Acumulado Metas PDD'!H29/$D29</f>
        <v>1.1885366666666666</v>
      </c>
      <c r="I29" s="33">
        <f>+'Avance Acumulado Metas PDD'!I29/$D29</f>
        <v>1.5113766666666666</v>
      </c>
      <c r="J29" s="33">
        <f>+'Avance Acumulado Metas PDD'!J29/$D29</f>
        <v>1.3925033333333334</v>
      </c>
      <c r="K29" s="33">
        <f>+'Avance Acumulado Metas PDD'!K29/$D29</f>
        <v>0.47839999999999999</v>
      </c>
      <c r="L29" s="33">
        <f>+'Avance Acumulado Metas PDD'!L29/$D29</f>
        <v>1.5113766666666666</v>
      </c>
      <c r="M29" s="33">
        <f>+L29/5</f>
        <v>0.30227533333333334</v>
      </c>
      <c r="N29" s="33">
        <v>0.35</v>
      </c>
      <c r="O29" s="208"/>
    </row>
    <row r="30" spans="1:18" ht="12.75" customHeight="1">
      <c r="A30" s="178"/>
      <c r="B30" s="178"/>
      <c r="C30" s="42" t="s">
        <v>165</v>
      </c>
      <c r="D30" s="78">
        <v>280000</v>
      </c>
      <c r="E30" s="38" t="s">
        <v>116</v>
      </c>
      <c r="F30" s="9" t="s">
        <v>188</v>
      </c>
      <c r="G30" s="33">
        <f>+'Avance Acumulado Metas PDD'!G30/$D30</f>
        <v>0.99122500000000002</v>
      </c>
      <c r="H30" s="33">
        <f>+'Avance Acumulado Metas PDD'!H30/$D30</f>
        <v>1.7486607142857142</v>
      </c>
      <c r="I30" s="33">
        <f>+'Avance Acumulado Metas PDD'!I30/$D30</f>
        <v>1.5612285714285714</v>
      </c>
      <c r="J30" s="33">
        <f>+'Avance Acumulado Metas PDD'!J30/$D30</f>
        <v>1.7507964285714286</v>
      </c>
      <c r="K30" s="33">
        <f>+'Avance Acumulado Metas PDD'!K30/$D30</f>
        <v>0.46101785714285715</v>
      </c>
      <c r="L30" s="33">
        <f>+'Avance Acumulado Metas PDD'!L30/$D30</f>
        <v>1.7507964285714286</v>
      </c>
      <c r="M30" s="33">
        <f>+L30/5</f>
        <v>0.35015928571428573</v>
      </c>
      <c r="N30" s="33">
        <v>0.45</v>
      </c>
      <c r="O30" s="208"/>
    </row>
    <row r="31" spans="1:18" ht="12.75" customHeight="1">
      <c r="A31" s="178"/>
      <c r="B31" s="7">
        <v>792</v>
      </c>
      <c r="C31" s="7" t="s">
        <v>137</v>
      </c>
      <c r="D31" s="78">
        <v>1</v>
      </c>
      <c r="E31" s="38" t="s">
        <v>138</v>
      </c>
      <c r="F31" s="9" t="s">
        <v>186</v>
      </c>
      <c r="G31" s="33">
        <f>+'Avance Acumulado Metas PDD'!G31/$D31</f>
        <v>0</v>
      </c>
      <c r="H31" s="33">
        <f>+'Avance Acumulado Metas PDD'!H31/$D31</f>
        <v>0</v>
      </c>
      <c r="I31" s="33">
        <f>+'Avance Acumulado Metas PDD'!I31/$D31</f>
        <v>0.2</v>
      </c>
      <c r="J31" s="33">
        <f>+'Avance Acumulado Metas PDD'!J31/$D31</f>
        <v>0.30000000000000004</v>
      </c>
      <c r="K31" s="33">
        <f>+'Avance Acumulado Metas PDD'!K31/$D31</f>
        <v>0.34</v>
      </c>
      <c r="L31" s="33">
        <f>+'Avance Acumulado Metas PDD'!L31/$D31</f>
        <v>0.34</v>
      </c>
      <c r="M31" s="33">
        <f>+L31/5</f>
        <v>6.8000000000000005E-2</v>
      </c>
      <c r="N31" s="33">
        <v>1</v>
      </c>
      <c r="O31" s="33">
        <f>+L31*N31</f>
        <v>0.34</v>
      </c>
    </row>
    <row r="32" spans="1:18" ht="12.75" customHeight="1">
      <c r="A32" s="178"/>
      <c r="B32" s="7">
        <v>787</v>
      </c>
      <c r="C32" s="7" t="s">
        <v>141</v>
      </c>
      <c r="D32" s="78">
        <v>6</v>
      </c>
      <c r="E32" s="38" t="s">
        <v>142</v>
      </c>
      <c r="F32" s="9" t="s">
        <v>187</v>
      </c>
      <c r="G32" s="33">
        <f>+'Avance Acumulado Metas PDD'!G32/$D32</f>
        <v>0.16666666666666666</v>
      </c>
      <c r="H32" s="33">
        <f>+'Avance Acumulado Metas PDD'!H32/$D32</f>
        <v>0.33333333333333331</v>
      </c>
      <c r="I32" s="33">
        <f>+'Avance Acumulado Metas PDD'!I32/$D32</f>
        <v>0.16666666666666666</v>
      </c>
      <c r="J32" s="33">
        <f>+'Avance Acumulado Metas PDD'!J32/$D32</f>
        <v>0.16666666666666666</v>
      </c>
      <c r="K32" s="33">
        <f>+'Avance Acumulado Metas PDD'!K32/$D32</f>
        <v>0</v>
      </c>
      <c r="L32" s="33">
        <f>+'Avance Acumulado Metas PDD'!L32/$D32</f>
        <v>0.83333333333333337</v>
      </c>
      <c r="M32" s="33">
        <f>+L32/4</f>
        <v>0.20833333333333334</v>
      </c>
      <c r="N32" s="33">
        <v>1</v>
      </c>
      <c r="O32" s="33">
        <f>+L32*N32</f>
        <v>0.83333333333333337</v>
      </c>
    </row>
    <row r="33" spans="1:15" ht="12.75" customHeight="1">
      <c r="A33" s="178"/>
      <c r="B33" s="178">
        <v>944</v>
      </c>
      <c r="C33" s="7" t="s">
        <v>143</v>
      </c>
      <c r="D33" s="78">
        <v>6</v>
      </c>
      <c r="E33" s="38" t="s">
        <v>144</v>
      </c>
      <c r="F33" s="9" t="s">
        <v>188</v>
      </c>
      <c r="G33" s="33">
        <f>+'Avance Acumulado Metas PDD'!G33/$D33</f>
        <v>1</v>
      </c>
      <c r="H33" s="33">
        <f>+'Avance Acumulado Metas PDD'!H33/$D33</f>
        <v>1</v>
      </c>
      <c r="I33" s="33">
        <f>+'Avance Acumulado Metas PDD'!I33/$D33</f>
        <v>1</v>
      </c>
      <c r="J33" s="33">
        <f>+'Avance Acumulado Metas PDD'!J33/$D33</f>
        <v>1</v>
      </c>
      <c r="K33" s="33">
        <f>+'Avance Acumulado Metas PDD'!K33/$D33</f>
        <v>1</v>
      </c>
      <c r="L33" s="33">
        <f>+'Avance Acumulado Metas PDD'!L33/$D33</f>
        <v>1</v>
      </c>
      <c r="M33" s="33">
        <f>+L33/5</f>
        <v>0.2</v>
      </c>
      <c r="N33" s="33">
        <v>0.8</v>
      </c>
      <c r="O33" s="208">
        <f>+L33*N33+L34*N34</f>
        <v>1</v>
      </c>
    </row>
    <row r="34" spans="1:15" ht="12.75" customHeight="1">
      <c r="A34" s="178"/>
      <c r="B34" s="178"/>
      <c r="C34" s="7" t="s">
        <v>147</v>
      </c>
      <c r="D34" s="78">
        <v>1</v>
      </c>
      <c r="E34" s="38" t="s">
        <v>148</v>
      </c>
      <c r="F34" s="9" t="s">
        <v>188</v>
      </c>
      <c r="G34" s="33">
        <f>+'Avance Acumulado Metas PDD'!G34/$D34</f>
        <v>0</v>
      </c>
      <c r="H34" s="33">
        <f>+'Avance Acumulado Metas PDD'!H34/$D34</f>
        <v>1</v>
      </c>
      <c r="I34" s="33">
        <f>+'Avance Acumulado Metas PDD'!I34/$D34</f>
        <v>1</v>
      </c>
      <c r="J34" s="33">
        <f>+'Avance Acumulado Metas PDD'!J34/$D34</f>
        <v>0</v>
      </c>
      <c r="K34" s="33">
        <f>+'Avance Acumulado Metas PDD'!K34/$D34</f>
        <v>0</v>
      </c>
      <c r="L34" s="33">
        <f>+'Avance Acumulado Metas PDD'!L34/$D34</f>
        <v>1</v>
      </c>
      <c r="M34" s="33">
        <f>+L34/4</f>
        <v>0.25</v>
      </c>
      <c r="N34" s="33">
        <v>0.2</v>
      </c>
      <c r="O34" s="208"/>
    </row>
    <row r="35" spans="1:15" ht="12.75" customHeight="1">
      <c r="A35" s="178"/>
      <c r="B35" s="7">
        <v>784</v>
      </c>
      <c r="C35" s="7" t="s">
        <v>153</v>
      </c>
      <c r="D35" s="80">
        <v>1</v>
      </c>
      <c r="E35" s="38" t="s">
        <v>154</v>
      </c>
      <c r="F35" s="9" t="s">
        <v>186</v>
      </c>
      <c r="G35" s="33">
        <f>+'Avance Acumulado Metas PDD'!G35/$D35</f>
        <v>0.57999999999999996</v>
      </c>
      <c r="H35" s="33">
        <f>+'Avance Acumulado Metas PDD'!H35/$D35</f>
        <v>0.54</v>
      </c>
      <c r="I35" s="33">
        <f>+'Avance Acumulado Metas PDD'!I35/$D35</f>
        <v>0.66</v>
      </c>
      <c r="J35" s="33">
        <f>+'Avance Acumulado Metas PDD'!J35/$D35</f>
        <v>0.78</v>
      </c>
      <c r="K35" s="33">
        <f>+'Avance Acumulado Metas PDD'!K35/$D35</f>
        <v>0.81</v>
      </c>
      <c r="L35" s="33">
        <f>+'Avance Acumulado Metas PDD'!L35/$D35</f>
        <v>0.81</v>
      </c>
      <c r="M35" s="33">
        <f>+L35/5</f>
        <v>0.16200000000000001</v>
      </c>
      <c r="N35" s="33">
        <v>1</v>
      </c>
      <c r="O35" s="33">
        <f>+L35*N35</f>
        <v>0.81</v>
      </c>
    </row>
    <row r="36" spans="1:15" s="15" customFormat="1" ht="12.75" customHeight="1">
      <c r="A36" s="13"/>
      <c r="B36" s="13"/>
      <c r="C36" s="13"/>
      <c r="D36" s="13"/>
      <c r="E36" s="13"/>
      <c r="F36" s="14">
        <v>0.8</v>
      </c>
      <c r="G36" s="14"/>
      <c r="H36" s="14">
        <v>0.8</v>
      </c>
      <c r="I36" s="14">
        <v>0.8</v>
      </c>
      <c r="J36" s="14">
        <v>0.8</v>
      </c>
      <c r="K36" s="14">
        <v>0.8</v>
      </c>
      <c r="L36" s="14"/>
      <c r="M36" s="14"/>
      <c r="N36" s="14"/>
      <c r="O36" s="34"/>
    </row>
    <row r="37" spans="1:15" ht="30" customHeight="1">
      <c r="A37" s="179" t="s">
        <v>76</v>
      </c>
      <c r="B37" s="179"/>
      <c r="C37" s="179"/>
      <c r="D37" s="179"/>
      <c r="E37" s="179"/>
      <c r="F37" s="179"/>
      <c r="G37" s="179"/>
      <c r="H37" s="179"/>
      <c r="I37" s="179"/>
      <c r="J37" s="88"/>
      <c r="K37" s="7"/>
      <c r="L37" s="7"/>
      <c r="M37" s="7"/>
      <c r="N37" s="7"/>
      <c r="O37" s="7"/>
    </row>
    <row r="38" spans="1:15" ht="36.6" customHeight="1">
      <c r="A38" s="21"/>
      <c r="B38" s="21"/>
      <c r="C38" s="21"/>
      <c r="D38" s="21"/>
      <c r="E38" s="21"/>
      <c r="F38" s="21"/>
      <c r="G38" s="21"/>
      <c r="H38" s="22"/>
      <c r="I38" s="22"/>
      <c r="J38" s="35"/>
      <c r="K38" s="7"/>
      <c r="L38" s="7"/>
      <c r="M38" s="7"/>
      <c r="N38" s="7"/>
      <c r="O38" s="7"/>
    </row>
    <row r="39" spans="1:15" ht="36.6" customHeight="1">
      <c r="A39" s="21"/>
      <c r="B39" s="21"/>
      <c r="C39" s="21"/>
      <c r="D39" s="21"/>
      <c r="E39" s="21"/>
      <c r="F39" s="21"/>
      <c r="G39" s="21"/>
      <c r="H39" s="22"/>
      <c r="I39" s="22"/>
      <c r="J39" s="35"/>
      <c r="K39" s="7"/>
      <c r="L39" s="7"/>
      <c r="M39" s="7"/>
      <c r="N39" s="7"/>
      <c r="O39" s="7"/>
    </row>
    <row r="40" spans="1:15" ht="36.6" customHeight="1">
      <c r="A40" s="21"/>
      <c r="B40" s="21"/>
      <c r="C40" s="21"/>
      <c r="D40" s="21"/>
      <c r="E40" s="21"/>
      <c r="F40" s="21"/>
      <c r="G40" s="21"/>
      <c r="H40" s="22"/>
      <c r="I40" s="22"/>
      <c r="J40" s="35"/>
      <c r="K40" s="7"/>
      <c r="L40" s="7"/>
      <c r="M40" s="7"/>
      <c r="N40" s="7"/>
      <c r="O40" s="7"/>
    </row>
  </sheetData>
  <sheetProtection selectLockedCells="1" selectUnlockedCells="1"/>
  <mergeCells count="31">
    <mergeCell ref="K9:O9"/>
    <mergeCell ref="I9:J9"/>
    <mergeCell ref="A1:O3"/>
    <mergeCell ref="A4:O6"/>
    <mergeCell ref="A7:O7"/>
    <mergeCell ref="A8:O8"/>
    <mergeCell ref="A9:C9"/>
    <mergeCell ref="D9:H9"/>
    <mergeCell ref="B33:B34"/>
    <mergeCell ref="O33:O34"/>
    <mergeCell ref="O22:O27"/>
    <mergeCell ref="A10:C10"/>
    <mergeCell ref="D10:H10"/>
    <mergeCell ref="I10:J10"/>
    <mergeCell ref="K10:O10"/>
    <mergeCell ref="D11:H11"/>
    <mergeCell ref="I11:J11"/>
    <mergeCell ref="K11:O11"/>
    <mergeCell ref="A11:C11"/>
    <mergeCell ref="A37:I37"/>
    <mergeCell ref="A13:O13"/>
    <mergeCell ref="A15:A35"/>
    <mergeCell ref="B15:B16"/>
    <mergeCell ref="O15:O16"/>
    <mergeCell ref="O17:O18"/>
    <mergeCell ref="B19:B21"/>
    <mergeCell ref="O19:O21"/>
    <mergeCell ref="B22:B27"/>
    <mergeCell ref="B17:B18"/>
    <mergeCell ref="B28:B30"/>
    <mergeCell ref="O28:O30"/>
  </mergeCells>
  <dataValidations count="2">
    <dataValidation type="list" operator="equal" allowBlank="1" showErrorMessage="1" sqref="K9">
      <formula1>"EFICACIA,EFICIENCIA,EFECTIVIDAD"</formula1>
      <formula2>0</formula2>
    </dataValidation>
    <dataValidation type="list" operator="equal" allowBlank="1" showErrorMessage="1" sqref="K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opLeftCell="A19" zoomScale="75" zoomScaleNormal="75" workbookViewId="0">
      <selection activeCell="B20" sqref="B20"/>
    </sheetView>
  </sheetViews>
  <sheetFormatPr baseColWidth="10" defaultRowHeight="14.65" customHeight="1"/>
  <cols>
    <col min="1" max="1" width="23.28515625" style="1" customWidth="1"/>
    <col min="2" max="3" width="18.28515625" style="1" customWidth="1"/>
    <col min="4" max="4" width="23.42578125" style="1" customWidth="1"/>
    <col min="5" max="5" width="18.28515625" style="1" customWidth="1"/>
    <col min="6" max="6" width="22.28515625" style="1" customWidth="1"/>
    <col min="7" max="7" width="20.85546875" style="1" customWidth="1"/>
    <col min="8" max="8" width="22.28515625" style="1" customWidth="1"/>
    <col min="9" max="9" width="19.140625" style="1" customWidth="1"/>
    <col min="10" max="10" width="12" style="1" customWidth="1"/>
    <col min="11" max="11" width="10.7109375" style="1" customWidth="1"/>
    <col min="12" max="12" width="18.85546875" style="1" customWidth="1"/>
    <col min="13" max="16384" width="11.42578125" style="1"/>
  </cols>
  <sheetData>
    <row r="1" spans="1:12" s="3" customFormat="1" ht="13.9" customHeight="1">
      <c r="A1" s="51"/>
      <c r="B1" s="52"/>
      <c r="C1" s="210" t="s">
        <v>0</v>
      </c>
      <c r="D1" s="210"/>
      <c r="E1" s="210"/>
      <c r="F1" s="210"/>
      <c r="G1" s="210"/>
      <c r="H1" s="210"/>
      <c r="I1" s="204" t="s">
        <v>28</v>
      </c>
      <c r="J1" s="204"/>
      <c r="K1" s="204"/>
      <c r="L1" s="204"/>
    </row>
    <row r="2" spans="1:12" s="3" customFormat="1" ht="13.9" customHeight="1">
      <c r="A2" s="53"/>
      <c r="B2" s="54"/>
      <c r="C2" s="210"/>
      <c r="D2" s="210"/>
      <c r="E2" s="210"/>
      <c r="F2" s="210"/>
      <c r="G2" s="210"/>
      <c r="H2" s="210"/>
      <c r="I2" s="204"/>
      <c r="J2" s="204"/>
      <c r="K2" s="204"/>
      <c r="L2" s="204"/>
    </row>
    <row r="3" spans="1:12" s="3" customFormat="1" ht="13.9" customHeight="1">
      <c r="A3" s="53"/>
      <c r="B3" s="54"/>
      <c r="C3" s="210"/>
      <c r="D3" s="210"/>
      <c r="E3" s="210"/>
      <c r="F3" s="210"/>
      <c r="G3" s="210"/>
      <c r="H3" s="210"/>
      <c r="I3" s="204" t="s">
        <v>29</v>
      </c>
      <c r="J3" s="204"/>
      <c r="K3" s="204"/>
      <c r="L3" s="204"/>
    </row>
    <row r="4" spans="1:12" s="3" customFormat="1" ht="13.9" customHeight="1">
      <c r="A4" s="53"/>
      <c r="B4" s="54"/>
      <c r="C4" s="210" t="s">
        <v>30</v>
      </c>
      <c r="D4" s="210"/>
      <c r="E4" s="210"/>
      <c r="F4" s="210"/>
      <c r="G4" s="210"/>
      <c r="H4" s="210"/>
      <c r="I4" s="204"/>
      <c r="J4" s="204"/>
      <c r="K4" s="204"/>
      <c r="L4" s="204"/>
    </row>
    <row r="5" spans="1:12" s="3" customFormat="1" ht="13.9" customHeight="1">
      <c r="A5" s="53"/>
      <c r="B5" s="54"/>
      <c r="C5" s="210"/>
      <c r="D5" s="210"/>
      <c r="E5" s="210"/>
      <c r="F5" s="210"/>
      <c r="G5" s="210"/>
      <c r="H5" s="210"/>
      <c r="I5" s="204" t="s">
        <v>31</v>
      </c>
      <c r="J5" s="204"/>
      <c r="K5" s="204"/>
      <c r="L5" s="204"/>
    </row>
    <row r="6" spans="1:12" s="3" customFormat="1" ht="13.9" customHeight="1">
      <c r="A6" s="55"/>
      <c r="B6" s="56"/>
      <c r="C6" s="210"/>
      <c r="D6" s="210"/>
      <c r="E6" s="210"/>
      <c r="F6" s="210"/>
      <c r="G6" s="210"/>
      <c r="H6" s="210"/>
      <c r="I6" s="204"/>
      <c r="J6" s="204"/>
      <c r="K6" s="204"/>
      <c r="L6" s="204"/>
    </row>
    <row r="7" spans="1:12" s="3" customFormat="1" ht="12.75" customHeight="1">
      <c r="A7" s="185"/>
      <c r="B7" s="185"/>
      <c r="C7" s="185"/>
      <c r="D7" s="185"/>
      <c r="E7" s="185"/>
      <c r="F7" s="185"/>
      <c r="G7" s="185"/>
      <c r="H7" s="185"/>
      <c r="I7" s="185"/>
      <c r="J7" s="185"/>
      <c r="K7" s="185"/>
      <c r="L7" s="185"/>
    </row>
    <row r="8" spans="1:12" ht="30" customHeight="1">
      <c r="A8" s="179" t="s">
        <v>2</v>
      </c>
      <c r="B8" s="179"/>
      <c r="C8" s="179"/>
      <c r="D8" s="179"/>
      <c r="E8" s="179"/>
      <c r="F8" s="179"/>
      <c r="G8" s="179"/>
      <c r="H8" s="179"/>
      <c r="I8" s="179"/>
      <c r="J8" s="179"/>
      <c r="K8" s="179"/>
      <c r="L8" s="179"/>
    </row>
    <row r="9" spans="1:12" ht="42" customHeight="1">
      <c r="A9" s="200" t="s">
        <v>3</v>
      </c>
      <c r="B9" s="200"/>
      <c r="C9" s="200"/>
      <c r="D9" s="183" t="s">
        <v>89</v>
      </c>
      <c r="E9" s="183"/>
      <c r="F9" s="183"/>
      <c r="G9" s="200" t="s">
        <v>5</v>
      </c>
      <c r="H9" s="200"/>
      <c r="I9" s="201" t="s">
        <v>90</v>
      </c>
      <c r="J9" s="201"/>
      <c r="K9" s="201"/>
      <c r="L9" s="201"/>
    </row>
    <row r="10" spans="1:12" ht="42" customHeight="1">
      <c r="A10" s="200" t="s">
        <v>7</v>
      </c>
      <c r="B10" s="200"/>
      <c r="C10" s="200"/>
      <c r="D10" s="183" t="s">
        <v>8</v>
      </c>
      <c r="E10" s="183"/>
      <c r="F10" s="183"/>
      <c r="G10" s="200" t="s">
        <v>9</v>
      </c>
      <c r="H10" s="200"/>
      <c r="I10" s="201" t="s">
        <v>10</v>
      </c>
      <c r="J10" s="201"/>
      <c r="K10" s="201"/>
      <c r="L10" s="201"/>
    </row>
    <row r="11" spans="1:12" ht="52.9" customHeight="1">
      <c r="A11" s="200" t="s">
        <v>11</v>
      </c>
      <c r="B11" s="200"/>
      <c r="C11" s="200"/>
      <c r="D11" s="183" t="s">
        <v>168</v>
      </c>
      <c r="E11" s="183"/>
      <c r="F11" s="183"/>
      <c r="G11" s="200" t="s">
        <v>32</v>
      </c>
      <c r="H11" s="200"/>
      <c r="I11" s="201" t="s">
        <v>33</v>
      </c>
      <c r="J11" s="201"/>
      <c r="K11" s="201"/>
      <c r="L11" s="201"/>
    </row>
    <row r="12" spans="1:12" ht="75.75" customHeight="1">
      <c r="A12" s="200" t="s">
        <v>34</v>
      </c>
      <c r="B12" s="200"/>
      <c r="C12" s="200"/>
      <c r="D12" s="183" t="s">
        <v>169</v>
      </c>
      <c r="E12" s="183"/>
      <c r="F12" s="183"/>
      <c r="G12" s="200" t="s">
        <v>36</v>
      </c>
      <c r="H12" s="200"/>
      <c r="I12" s="201" t="s">
        <v>37</v>
      </c>
      <c r="J12" s="201"/>
      <c r="K12" s="201"/>
      <c r="L12" s="201"/>
    </row>
    <row r="13" spans="1:12" ht="52.9" customHeight="1">
      <c r="A13" s="200" t="s">
        <v>38</v>
      </c>
      <c r="B13" s="200"/>
      <c r="C13" s="200"/>
      <c r="D13" s="183" t="s">
        <v>170</v>
      </c>
      <c r="E13" s="183"/>
      <c r="F13" s="183"/>
      <c r="G13" s="200" t="s">
        <v>40</v>
      </c>
      <c r="H13" s="200"/>
      <c r="I13" s="201" t="s">
        <v>171</v>
      </c>
      <c r="J13" s="201"/>
      <c r="K13" s="201"/>
      <c r="L13" s="201"/>
    </row>
    <row r="14" spans="1:12" ht="75.75" customHeight="1">
      <c r="A14" s="200" t="s">
        <v>42</v>
      </c>
      <c r="B14" s="200"/>
      <c r="C14" s="200"/>
      <c r="D14" s="183" t="s">
        <v>172</v>
      </c>
      <c r="E14" s="183"/>
      <c r="F14" s="183"/>
      <c r="G14" s="200" t="s">
        <v>44</v>
      </c>
      <c r="H14" s="200"/>
      <c r="I14" s="201" t="s">
        <v>173</v>
      </c>
      <c r="J14" s="201"/>
      <c r="K14" s="201"/>
      <c r="L14" s="201"/>
    </row>
    <row r="15" spans="1:12" ht="42.4" customHeight="1">
      <c r="A15" s="200" t="s">
        <v>46</v>
      </c>
      <c r="B15" s="200"/>
      <c r="C15" s="200"/>
      <c r="D15" s="178" t="s">
        <v>47</v>
      </c>
      <c r="E15" s="178"/>
      <c r="F15" s="178"/>
      <c r="G15" s="200" t="s">
        <v>48</v>
      </c>
      <c r="H15" s="200"/>
      <c r="I15" s="178" t="s">
        <v>49</v>
      </c>
      <c r="J15" s="178"/>
      <c r="K15" s="178"/>
      <c r="L15" s="178"/>
    </row>
    <row r="16" spans="1:12" ht="41.25" customHeight="1">
      <c r="A16" s="200"/>
      <c r="B16" s="200"/>
      <c r="C16" s="200"/>
      <c r="D16" s="178" t="s">
        <v>50</v>
      </c>
      <c r="E16" s="178"/>
      <c r="F16" s="178"/>
      <c r="G16" s="200"/>
      <c r="H16" s="200"/>
      <c r="I16" s="178" t="s">
        <v>51</v>
      </c>
      <c r="J16" s="178"/>
      <c r="K16" s="178"/>
      <c r="L16" s="178"/>
    </row>
    <row r="17" spans="1:15" ht="6.75" customHeight="1"/>
    <row r="18" spans="1:15" ht="30" customHeight="1">
      <c r="A18" s="179" t="s">
        <v>52</v>
      </c>
      <c r="B18" s="179"/>
      <c r="C18" s="179"/>
      <c r="D18" s="179"/>
      <c r="E18" s="179"/>
      <c r="F18" s="179"/>
      <c r="G18" s="179"/>
      <c r="H18" s="179"/>
      <c r="I18" s="179"/>
      <c r="J18" s="179"/>
      <c r="K18" s="179"/>
      <c r="L18" s="179"/>
    </row>
    <row r="19" spans="1:15" ht="15" customHeight="1">
      <c r="A19" s="29" t="s">
        <v>174</v>
      </c>
      <c r="B19" s="29">
        <v>2016</v>
      </c>
      <c r="C19" s="29" t="s">
        <v>175</v>
      </c>
      <c r="D19" s="30">
        <v>2017</v>
      </c>
      <c r="E19" s="29" t="s">
        <v>175</v>
      </c>
      <c r="F19" s="29">
        <v>2018</v>
      </c>
      <c r="G19" s="29" t="s">
        <v>175</v>
      </c>
      <c r="H19" s="29">
        <v>20149</v>
      </c>
      <c r="I19" s="29" t="s">
        <v>175</v>
      </c>
      <c r="J19" s="200">
        <v>2020</v>
      </c>
      <c r="K19" s="200"/>
      <c r="L19" s="29" t="s">
        <v>176</v>
      </c>
    </row>
    <row r="20" spans="1:15" ht="14.25" customHeight="1">
      <c r="A20" s="7">
        <v>982</v>
      </c>
      <c r="B20" s="175">
        <f>+(0.2*0.01)/1+(49831*0.6)/50000+(20*0.36)/20+(4*0.03)/3</f>
        <v>0.99997199999999997</v>
      </c>
      <c r="C20" s="177">
        <f>+(0.2*0.01)/4+(49831*0.6)/272000+(20*0.36)/20+(4*0.03)/17</f>
        <v>0.47748014705882352</v>
      </c>
      <c r="D20" s="40"/>
      <c r="E20" s="57"/>
      <c r="F20" s="58"/>
      <c r="G20" s="59"/>
      <c r="H20" s="33"/>
      <c r="I20" s="60"/>
      <c r="J20" s="208"/>
      <c r="K20" s="208"/>
      <c r="L20" s="61">
        <f>+MAX(C20,E20,G20,J20)</f>
        <v>0.47748014705882352</v>
      </c>
      <c r="N20" s="161">
        <v>982</v>
      </c>
      <c r="O20" s="63">
        <f>+L20</f>
        <v>0.47748014705882352</v>
      </c>
    </row>
    <row r="21" spans="1:15" ht="14.25" customHeight="1">
      <c r="A21" s="7">
        <v>985</v>
      </c>
      <c r="B21" s="176">
        <f>+(5*0.3)/5+(6*0.34)/5</f>
        <v>0.70799999999999996</v>
      </c>
      <c r="C21" s="66">
        <f>+(5*0.3)/40+(6*0.34)/37</f>
        <v>9.2635135135135133E-2</v>
      </c>
      <c r="D21" s="40"/>
      <c r="E21" s="57"/>
      <c r="F21" s="58"/>
      <c r="G21" s="59"/>
      <c r="H21" s="33"/>
      <c r="I21" s="60"/>
      <c r="J21" s="208"/>
      <c r="K21" s="208"/>
      <c r="L21" s="61">
        <f t="shared" ref="L21:L28" si="0">+MAX(C21,E21,G21,J21)</f>
        <v>9.2635135135135133E-2</v>
      </c>
      <c r="N21" s="161">
        <v>985</v>
      </c>
      <c r="O21" s="63">
        <f t="shared" ref="O21:O28" si="1">+L21</f>
        <v>9.2635135135135133E-2</v>
      </c>
    </row>
    <row r="22" spans="1:15" ht="14.25" customHeight="1">
      <c r="A22" s="7">
        <v>993</v>
      </c>
      <c r="B22" s="174">
        <f>+(32348*0.81)/33000+(14661*0.06)/15000+(14*0.09)/13+(0.2*0.04)/1</f>
        <v>0.95756344055944065</v>
      </c>
      <c r="C22" s="177">
        <f>+(32348*0.81)/50000+(14661*0.06)/31000+(14*0.09)/20+(0.2*0.04)/4</f>
        <v>0.61741372903225811</v>
      </c>
      <c r="D22" s="40"/>
      <c r="E22" s="57"/>
      <c r="F22" s="40"/>
      <c r="G22" s="65"/>
      <c r="H22" s="33"/>
      <c r="I22" s="60"/>
      <c r="J22" s="208"/>
      <c r="K22" s="208"/>
      <c r="L22" s="61">
        <f t="shared" si="0"/>
        <v>0.61741372903225811</v>
      </c>
      <c r="N22" s="161">
        <v>993</v>
      </c>
      <c r="O22" s="63">
        <f t="shared" si="1"/>
        <v>0.61741372903225811</v>
      </c>
    </row>
    <row r="23" spans="1:15" ht="14.25" customHeight="1">
      <c r="A23" s="7">
        <v>996</v>
      </c>
      <c r="B23" s="176">
        <f>+(282706*0.62)/350000+(4737*0.27)/3700+(3*0.11)/4</f>
        <v>0.9289664586872588</v>
      </c>
      <c r="C23" s="66">
        <f>+(282706*0.62)/1600000+(4737*0.27)/22077+(3*0.11)/24</f>
        <v>0.18123171809009378</v>
      </c>
      <c r="D23" s="40"/>
      <c r="E23" s="57"/>
      <c r="F23" s="61"/>
      <c r="G23" s="65"/>
      <c r="H23" s="33"/>
      <c r="I23" s="60"/>
      <c r="J23" s="208"/>
      <c r="K23" s="208"/>
      <c r="L23" s="61">
        <f t="shared" si="0"/>
        <v>0.18123171809009378</v>
      </c>
      <c r="N23" s="161">
        <v>996</v>
      </c>
      <c r="O23" s="63">
        <f t="shared" si="1"/>
        <v>0.18123171809009378</v>
      </c>
    </row>
    <row r="24" spans="1:15" ht="14.25" customHeight="1">
      <c r="A24" s="7">
        <v>998</v>
      </c>
      <c r="B24" s="176">
        <f>+(4*0.01)/4+(1528556*0.17)/1500000+(2035*0.1)/1750+(0.85*0.71)/0.85</f>
        <v>1.009522060952381</v>
      </c>
      <c r="C24" s="66">
        <f>+(4*0.01)/22+(1528556*0.17)/2200000+(2035*0.1)/14000+(0.85*0.71)/0.9</f>
        <v>0.80502514256854252</v>
      </c>
      <c r="D24" s="40"/>
      <c r="E24" s="57"/>
      <c r="F24" s="40"/>
      <c r="G24" s="65"/>
      <c r="H24" s="33"/>
      <c r="I24" s="60"/>
      <c r="J24" s="208"/>
      <c r="K24" s="208"/>
      <c r="L24" s="61">
        <f t="shared" si="0"/>
        <v>0.80502514256854252</v>
      </c>
      <c r="N24" s="161">
        <v>998</v>
      </c>
      <c r="O24" s="63">
        <f t="shared" si="1"/>
        <v>0.80502514256854252</v>
      </c>
    </row>
    <row r="25" spans="1:15" ht="14.25" customHeight="1">
      <c r="A25" s="7">
        <v>999</v>
      </c>
      <c r="B25" s="176">
        <f>+(10*0.04)/9+(249891*0.72)/270000+(963*0.9)/850+(0.03*0.11)/3+(0.9*0.03)/3</f>
        <v>1.7405675032679739</v>
      </c>
      <c r="C25" s="68">
        <f>+(10*0.04)/14+(249891*0.72)/1900000+(963*0.9)/5600+(0.03*0.11)/3+(0.9*0.03)/10</f>
        <v>0.28183482255639097</v>
      </c>
      <c r="D25" s="40"/>
      <c r="E25" s="57"/>
      <c r="F25" s="40"/>
      <c r="G25" s="65"/>
      <c r="H25" s="33"/>
      <c r="I25" s="60"/>
      <c r="J25" s="208"/>
      <c r="K25" s="208"/>
      <c r="L25" s="61">
        <f t="shared" si="0"/>
        <v>0.28183482255639097</v>
      </c>
      <c r="N25" s="161">
        <v>999</v>
      </c>
      <c r="O25" s="63">
        <f t="shared" si="1"/>
        <v>0.28183482255639097</v>
      </c>
    </row>
    <row r="26" spans="1:15" ht="14.25" customHeight="1">
      <c r="A26" s="7">
        <v>1000</v>
      </c>
      <c r="B26" s="174">
        <f>+(473*0.34)/465+(0.2*0.06)/1+(0.05*0.16)/0.05+(45*0.44)/45</f>
        <v>0.95784946236559154</v>
      </c>
      <c r="C26" s="177">
        <f>+(473*0.34)/2150+(0.2*0.06)/1+(0.05*0.16)/0.05+(45*0.44)/286</f>
        <v>0.31603076923076923</v>
      </c>
      <c r="D26" s="40"/>
      <c r="E26" s="57"/>
      <c r="F26" s="40"/>
      <c r="G26" s="65"/>
      <c r="H26" s="33"/>
      <c r="I26" s="60"/>
      <c r="J26" s="208"/>
      <c r="K26" s="208"/>
      <c r="L26" s="61">
        <f t="shared" si="0"/>
        <v>0.31603076923076923</v>
      </c>
      <c r="N26" s="161">
        <v>1000</v>
      </c>
      <c r="O26" s="63">
        <f t="shared" si="1"/>
        <v>0.31603076923076923</v>
      </c>
    </row>
    <row r="27" spans="1:15" ht="14.25" customHeight="1">
      <c r="A27" s="7">
        <v>1010</v>
      </c>
      <c r="B27" s="176">
        <f>+(0.58*0.06)/0.44+(9*0.8)/8+(0.2*0.15)/1</f>
        <v>1.009090909090909</v>
      </c>
      <c r="C27" s="68">
        <f>+(0.58*0.06)/2+(9*0.8)/12+(0.2*0.15)/5</f>
        <v>0.62339999999999995</v>
      </c>
      <c r="D27" s="40"/>
      <c r="E27" s="57"/>
      <c r="F27" s="40"/>
      <c r="G27" s="65"/>
      <c r="H27" s="33"/>
      <c r="I27" s="60"/>
      <c r="J27" s="208"/>
      <c r="K27" s="208"/>
      <c r="L27" s="61">
        <f t="shared" si="0"/>
        <v>0.62339999999999995</v>
      </c>
      <c r="N27" s="161">
        <v>1010</v>
      </c>
      <c r="O27" s="63">
        <f t="shared" si="1"/>
        <v>0.62339999999999995</v>
      </c>
    </row>
    <row r="28" spans="1:15" ht="14.25" customHeight="1">
      <c r="A28" s="7">
        <v>1017</v>
      </c>
      <c r="B28" s="176">
        <f>+(5*0.069)/5+(1*0.015)/1+(792143*0.464)/700000+(8540*0.34)/8325+(21*0.038)/20+(25*0.001)/30+(728*0.066)/760+(5*0.007)/5</f>
        <v>1.0688128124599787</v>
      </c>
      <c r="C28" s="68">
        <f>+(5*0.069)/30+(1*0.015)/10+(792143*0.464)/2900000+(8540*0.34)/55500+(21*0.038)/160+(25*0.001)/160+(728*0.066)/4760+(5*0.007)/70</f>
        <v>0.20779786476417597</v>
      </c>
      <c r="D28" s="40"/>
      <c r="E28" s="57"/>
      <c r="F28" s="40"/>
      <c r="G28" s="65"/>
      <c r="H28" s="33"/>
      <c r="I28" s="60"/>
      <c r="J28" s="208"/>
      <c r="K28" s="208"/>
      <c r="L28" s="61">
        <f t="shared" si="0"/>
        <v>0.20779786476417597</v>
      </c>
      <c r="N28" s="161">
        <v>1017</v>
      </c>
      <c r="O28" s="63">
        <f t="shared" si="1"/>
        <v>0.20779786476417597</v>
      </c>
    </row>
    <row r="29" spans="1:15" ht="14.25" customHeight="1">
      <c r="A29" s="7"/>
      <c r="B29" s="40"/>
      <c r="C29" s="67"/>
      <c r="D29" s="40"/>
      <c r="E29" s="57"/>
      <c r="F29" s="40"/>
      <c r="G29" s="65"/>
      <c r="H29" s="33"/>
      <c r="I29" s="60"/>
      <c r="J29" s="212"/>
      <c r="K29" s="213"/>
      <c r="L29" s="64"/>
      <c r="N29" s="62" t="s">
        <v>436</v>
      </c>
      <c r="O29" s="63">
        <f>+L30</f>
        <v>0.40031659204846548</v>
      </c>
    </row>
    <row r="30" spans="1:15" ht="28.5" customHeight="1">
      <c r="A30" s="7" t="s">
        <v>166</v>
      </c>
      <c r="B30" s="40">
        <f t="shared" ref="B30:J30" si="2">+SUM(B20:B28)/9</f>
        <v>1.0422605163759482</v>
      </c>
      <c r="C30" s="70">
        <f t="shared" si="2"/>
        <v>0.40031659204846548</v>
      </c>
      <c r="D30" s="40">
        <f t="shared" si="2"/>
        <v>0</v>
      </c>
      <c r="E30" s="57">
        <f t="shared" si="2"/>
        <v>0</v>
      </c>
      <c r="F30" s="40">
        <f t="shared" si="2"/>
        <v>0</v>
      </c>
      <c r="G30" s="65">
        <f t="shared" si="2"/>
        <v>0</v>
      </c>
      <c r="H30" s="40">
        <f t="shared" si="2"/>
        <v>0</v>
      </c>
      <c r="I30" s="69">
        <f t="shared" si="2"/>
        <v>0</v>
      </c>
      <c r="J30" s="211">
        <f t="shared" si="2"/>
        <v>0</v>
      </c>
      <c r="K30" s="211"/>
      <c r="L30" s="40">
        <f>+(L20+L21+L22+L23+L24+L25+L26+L27+L28)/9</f>
        <v>0.40031659204846548</v>
      </c>
    </row>
    <row r="31" spans="1:15" ht="42.75" customHeight="1">
      <c r="A31" s="7" t="s">
        <v>160</v>
      </c>
      <c r="B31" s="7"/>
      <c r="C31" s="70">
        <f>+C30/0.125</f>
        <v>3.2025327363877238</v>
      </c>
      <c r="D31" s="7"/>
      <c r="E31" s="57">
        <f>+(E30*0.7/0.4)+(E30*0.3/0.25)</f>
        <v>0</v>
      </c>
      <c r="F31" s="71"/>
      <c r="G31" s="72">
        <f>+(G30*0.7/0.6)+(G30*0.3/0.5)</f>
        <v>0</v>
      </c>
      <c r="H31" s="45"/>
      <c r="I31" s="69">
        <f>+(I30*0.7/0.8)+(I30*0.3/0.75)</f>
        <v>0</v>
      </c>
      <c r="J31" s="202"/>
      <c r="K31" s="202"/>
      <c r="L31" s="61">
        <f>+(L30*0.7/1)+(L30*0.3/1)</f>
        <v>0.40031659204846548</v>
      </c>
    </row>
    <row r="32" spans="1:15" s="15" customFormat="1" ht="12.75" customHeight="1">
      <c r="A32" s="13"/>
      <c r="B32" s="13"/>
      <c r="C32" s="13"/>
      <c r="D32" s="14">
        <v>0.8</v>
      </c>
      <c r="E32" s="14">
        <v>0.8</v>
      </c>
      <c r="F32" s="14">
        <v>0.8</v>
      </c>
      <c r="G32" s="14">
        <v>0.8</v>
      </c>
      <c r="H32" s="14">
        <v>0.8</v>
      </c>
      <c r="I32" s="14">
        <v>0.8</v>
      </c>
      <c r="J32" s="14">
        <v>0.8</v>
      </c>
      <c r="K32" s="14"/>
      <c r="L32" s="34"/>
    </row>
    <row r="33" spans="1:14" ht="30" customHeight="1">
      <c r="A33" s="179" t="s">
        <v>177</v>
      </c>
      <c r="B33" s="179"/>
      <c r="C33" s="179"/>
      <c r="D33" s="179"/>
      <c r="E33" s="179"/>
      <c r="F33" s="179"/>
      <c r="G33" s="179"/>
      <c r="H33" s="179"/>
      <c r="I33" s="179"/>
      <c r="J33" s="179"/>
      <c r="K33" s="179"/>
      <c r="L33" s="179"/>
    </row>
    <row r="34" spans="1:14" ht="73.150000000000006" customHeight="1">
      <c r="A34" s="20"/>
      <c r="B34" s="21"/>
      <c r="C34" s="21"/>
      <c r="D34" s="21"/>
      <c r="E34" s="21"/>
      <c r="F34" s="21"/>
      <c r="G34" s="21"/>
      <c r="H34" s="21"/>
      <c r="I34" s="21"/>
      <c r="J34" s="21"/>
      <c r="K34" s="21"/>
      <c r="L34" s="73"/>
    </row>
    <row r="35" spans="1:14" ht="68.650000000000006" customHeight="1">
      <c r="A35" s="20"/>
      <c r="B35" s="21"/>
      <c r="C35" s="21"/>
      <c r="D35" s="21"/>
      <c r="E35" s="21"/>
      <c r="F35" s="21"/>
      <c r="G35" s="21"/>
      <c r="H35" s="21"/>
      <c r="I35" s="21"/>
      <c r="J35" s="21"/>
      <c r="K35" s="21"/>
      <c r="L35" s="73"/>
    </row>
    <row r="36" spans="1:14" ht="67.150000000000006" customHeight="1">
      <c r="A36" s="20"/>
      <c r="B36" s="21"/>
      <c r="C36" s="21"/>
      <c r="D36" s="21"/>
      <c r="E36" s="21"/>
      <c r="F36" s="21"/>
      <c r="G36" s="21"/>
      <c r="H36" s="21"/>
      <c r="I36" s="21"/>
      <c r="J36" s="21"/>
      <c r="K36" s="21"/>
      <c r="L36" s="73"/>
    </row>
    <row r="37" spans="1:14" ht="63.4" customHeight="1">
      <c r="A37" s="24"/>
      <c r="B37" s="25"/>
      <c r="C37" s="25"/>
      <c r="D37" s="25"/>
      <c r="E37" s="25"/>
      <c r="F37" s="25"/>
      <c r="G37" s="25"/>
      <c r="H37" s="25"/>
      <c r="I37" s="25"/>
      <c r="J37" s="25"/>
      <c r="K37" s="25"/>
      <c r="L37" s="74"/>
    </row>
    <row r="38" spans="1:14" ht="27" customHeight="1">
      <c r="A38" s="179" t="s">
        <v>76</v>
      </c>
      <c r="B38" s="179"/>
      <c r="C38" s="179"/>
      <c r="D38" s="179"/>
      <c r="E38" s="179"/>
      <c r="F38" s="179"/>
      <c r="G38" s="179"/>
      <c r="H38" s="200" t="s">
        <v>77</v>
      </c>
      <c r="I38" s="200"/>
      <c r="J38" s="200"/>
      <c r="K38" s="200"/>
      <c r="L38" s="200"/>
    </row>
    <row r="39" spans="1:14" ht="47.25" customHeight="1">
      <c r="A39" s="214" t="s">
        <v>437</v>
      </c>
      <c r="B39" s="214"/>
      <c r="C39" s="214"/>
      <c r="D39" s="214"/>
      <c r="E39" s="214"/>
      <c r="F39" s="214"/>
      <c r="G39" s="214"/>
      <c r="H39" s="200" t="s">
        <v>78</v>
      </c>
      <c r="I39" s="200"/>
      <c r="J39" s="200"/>
      <c r="K39" s="200"/>
      <c r="L39" s="75"/>
    </row>
    <row r="40" spans="1:14" ht="47.25" customHeight="1">
      <c r="A40" s="214"/>
      <c r="B40" s="214"/>
      <c r="C40" s="214"/>
      <c r="D40" s="214"/>
      <c r="E40" s="214"/>
      <c r="F40" s="214"/>
      <c r="G40" s="214"/>
      <c r="H40" s="200" t="s">
        <v>79</v>
      </c>
      <c r="I40" s="200"/>
      <c r="J40" s="200"/>
      <c r="K40" s="200"/>
      <c r="L40" s="75"/>
      <c r="N40"/>
    </row>
    <row r="41" spans="1:14" ht="47.25" customHeight="1">
      <c r="A41" s="214"/>
      <c r="B41" s="214"/>
      <c r="C41" s="214"/>
      <c r="D41" s="214"/>
      <c r="E41" s="214"/>
      <c r="F41" s="214"/>
      <c r="G41" s="214"/>
      <c r="H41" s="200" t="s">
        <v>80</v>
      </c>
      <c r="I41" s="200"/>
      <c r="J41" s="200"/>
      <c r="K41" s="200"/>
      <c r="L41" s="75"/>
      <c r="N41"/>
    </row>
    <row r="42" spans="1:14" ht="47.25" customHeight="1">
      <c r="A42" s="214"/>
      <c r="B42" s="214"/>
      <c r="C42" s="214"/>
      <c r="D42" s="214"/>
      <c r="E42" s="214"/>
      <c r="F42" s="214"/>
      <c r="G42" s="214"/>
      <c r="H42" s="200" t="s">
        <v>82</v>
      </c>
      <c r="I42" s="200"/>
      <c r="J42" s="200"/>
      <c r="K42" s="200"/>
      <c r="L42" s="36" t="s">
        <v>81</v>
      </c>
      <c r="N42"/>
    </row>
    <row r="43" spans="1:14" ht="47.25" customHeight="1">
      <c r="A43" s="214"/>
      <c r="B43" s="214"/>
      <c r="C43" s="214"/>
      <c r="D43" s="214"/>
      <c r="E43" s="214"/>
      <c r="F43" s="214"/>
      <c r="G43" s="214"/>
      <c r="H43" s="200" t="s">
        <v>83</v>
      </c>
      <c r="I43" s="200"/>
      <c r="J43" s="200"/>
      <c r="K43" s="200"/>
      <c r="L43" s="75"/>
      <c r="N43"/>
    </row>
    <row r="44" spans="1:14" ht="47.25" customHeight="1">
      <c r="A44" s="214"/>
      <c r="B44" s="214"/>
      <c r="C44" s="214"/>
      <c r="D44" s="214"/>
      <c r="E44" s="214"/>
      <c r="F44" s="214"/>
      <c r="G44" s="214"/>
      <c r="H44" s="200" t="s">
        <v>84</v>
      </c>
      <c r="I44" s="200"/>
      <c r="J44" s="200"/>
      <c r="K44" s="200"/>
      <c r="L44" s="200"/>
    </row>
    <row r="45" spans="1:14" ht="47.25" customHeight="1">
      <c r="A45" s="214"/>
      <c r="B45" s="214"/>
      <c r="C45" s="214"/>
      <c r="D45" s="214"/>
      <c r="E45" s="214"/>
      <c r="F45" s="214"/>
      <c r="G45" s="214"/>
      <c r="H45" s="178" t="s">
        <v>49</v>
      </c>
      <c r="I45" s="178"/>
      <c r="J45" s="178"/>
      <c r="K45" s="178"/>
      <c r="L45" s="178"/>
    </row>
    <row r="46" spans="1:14" ht="47.25" customHeight="1">
      <c r="A46" s="214"/>
      <c r="B46" s="214"/>
      <c r="C46" s="214"/>
      <c r="D46" s="214"/>
      <c r="E46" s="214"/>
      <c r="F46" s="214"/>
      <c r="G46" s="214"/>
      <c r="H46" s="178" t="s">
        <v>51</v>
      </c>
      <c r="I46" s="178"/>
      <c r="J46" s="178"/>
      <c r="K46" s="178"/>
      <c r="L46" s="178"/>
    </row>
    <row r="47" spans="1:14" ht="47.25" customHeight="1">
      <c r="A47" s="214"/>
      <c r="B47" s="214"/>
      <c r="C47" s="214"/>
      <c r="D47" s="214"/>
      <c r="E47" s="214"/>
      <c r="F47" s="214"/>
      <c r="G47" s="214"/>
      <c r="H47" s="182" t="s">
        <v>85</v>
      </c>
      <c r="I47" s="182"/>
      <c r="J47" s="36">
        <v>31</v>
      </c>
      <c r="K47" s="36">
        <v>12</v>
      </c>
      <c r="L47" s="36">
        <v>2015</v>
      </c>
    </row>
    <row r="48" spans="1:14" ht="47.25" customHeight="1">
      <c r="A48" s="214"/>
      <c r="B48" s="214"/>
      <c r="C48" s="214"/>
      <c r="D48" s="214"/>
      <c r="E48" s="214"/>
      <c r="F48" s="214"/>
      <c r="G48" s="214"/>
      <c r="H48" s="182" t="s">
        <v>86</v>
      </c>
      <c r="I48" s="182"/>
      <c r="J48" s="36">
        <v>14</v>
      </c>
      <c r="K48" s="36">
        <v>3</v>
      </c>
      <c r="L48" s="36">
        <v>2017</v>
      </c>
    </row>
    <row r="49" spans="1:12" ht="21.75" customHeight="1">
      <c r="A49" s="214"/>
      <c r="B49" s="214"/>
      <c r="C49" s="214"/>
      <c r="D49" s="214"/>
      <c r="E49" s="214"/>
      <c r="F49" s="214"/>
      <c r="G49" s="214"/>
      <c r="H49" s="182" t="s">
        <v>87</v>
      </c>
      <c r="I49" s="182"/>
      <c r="J49" s="184" t="s">
        <v>178</v>
      </c>
      <c r="K49" s="184"/>
      <c r="L49" s="184"/>
    </row>
  </sheetData>
  <sheetProtection password="C6BA" sheet="1" formatCells="0" formatColumns="0" formatRows="0" insertColumns="0" insertRows="0" insertHyperlinks="0" deleteColumns="0" deleteRows="0" sort="0" autoFilter="0" pivotTables="0"/>
  <mergeCells count="67">
    <mergeCell ref="H47:I47"/>
    <mergeCell ref="A33:L33"/>
    <mergeCell ref="A38:G38"/>
    <mergeCell ref="H38:L38"/>
    <mergeCell ref="A39:G49"/>
    <mergeCell ref="H39:K39"/>
    <mergeCell ref="H40:K40"/>
    <mergeCell ref="H41:K41"/>
    <mergeCell ref="H42:K42"/>
    <mergeCell ref="H49:I49"/>
    <mergeCell ref="J49:L49"/>
    <mergeCell ref="H48:I48"/>
    <mergeCell ref="H45:L45"/>
    <mergeCell ref="H46:L46"/>
    <mergeCell ref="J24:K24"/>
    <mergeCell ref="J25:K25"/>
    <mergeCell ref="J26:K26"/>
    <mergeCell ref="J27:K27"/>
    <mergeCell ref="J28:K28"/>
    <mergeCell ref="J30:K30"/>
    <mergeCell ref="J31:K31"/>
    <mergeCell ref="J29:K29"/>
    <mergeCell ref="H43:K43"/>
    <mergeCell ref="H44:L44"/>
    <mergeCell ref="J23:K23"/>
    <mergeCell ref="A15:C16"/>
    <mergeCell ref="D15:F15"/>
    <mergeCell ref="G15:H16"/>
    <mergeCell ref="I15:L15"/>
    <mergeCell ref="D16:F16"/>
    <mergeCell ref="I16:L16"/>
    <mergeCell ref="A18:L18"/>
    <mergeCell ref="J19:K19"/>
    <mergeCell ref="J20:K20"/>
    <mergeCell ref="J21:K21"/>
    <mergeCell ref="J22:K22"/>
    <mergeCell ref="A13:C13"/>
    <mergeCell ref="D13:F13"/>
    <mergeCell ref="G13:H13"/>
    <mergeCell ref="I13:L13"/>
    <mergeCell ref="A14:C14"/>
    <mergeCell ref="D14:F14"/>
    <mergeCell ref="G14:H14"/>
    <mergeCell ref="I14:L14"/>
    <mergeCell ref="A11:C11"/>
    <mergeCell ref="D11:F11"/>
    <mergeCell ref="G11:H11"/>
    <mergeCell ref="I11:L11"/>
    <mergeCell ref="A12:C12"/>
    <mergeCell ref="D12:F12"/>
    <mergeCell ref="G12:H12"/>
    <mergeCell ref="I12:L12"/>
    <mergeCell ref="A10:C10"/>
    <mergeCell ref="D10:F10"/>
    <mergeCell ref="G10:H10"/>
    <mergeCell ref="I10:L10"/>
    <mergeCell ref="C1:H3"/>
    <mergeCell ref="I1:L2"/>
    <mergeCell ref="I3:L4"/>
    <mergeCell ref="C4:H6"/>
    <mergeCell ref="I5:L6"/>
    <mergeCell ref="A7:L7"/>
    <mergeCell ref="A8:L8"/>
    <mergeCell ref="A9:C9"/>
    <mergeCell ref="D9:F9"/>
    <mergeCell ref="G9:H9"/>
    <mergeCell ref="I9:L9"/>
  </mergeCells>
  <dataValidations disablePrompts="1" count="3">
    <dataValidation type="list" operator="equal" allowBlank="1" showErrorMessage="1" sqref="I12">
      <formula1>"MENSUAL,BIMENSUAL,TRIMESTRAL,SEMESTRAL,ANUAL"</formula1>
      <formula2>0</formula2>
    </dataValidation>
    <dataValidation type="list" operator="equal" allowBlank="1" showErrorMessage="1" sqref="I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I9">
      <formula1>"EFICACIA,EFICIENCIA,EFECTIVIDAD"</formula1>
      <formula2>0</formula2>
    </dataValidation>
  </dataValidations>
  <printOptions horizontalCentered="1"/>
  <pageMargins left="0.19685039370078741" right="0.23622047244094491" top="0.39370078740157483" bottom="0.23622047244094491" header="0.51181102362204722" footer="0.51181102362204722"/>
  <pageSetup paperSize="14" scale="70" firstPageNumber="0" pageOrder="overThenDown"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2"/>
  <sheetViews>
    <sheetView zoomScale="75" zoomScaleNormal="75" workbookViewId="0"/>
  </sheetViews>
  <sheetFormatPr baseColWidth="10" defaultRowHeight="14.65" customHeight="1"/>
  <cols>
    <col min="1" max="1" width="10.7109375" style="1" customWidth="1"/>
    <col min="2" max="2" width="17.7109375" style="1" customWidth="1"/>
    <col min="3" max="3" width="13.85546875" style="1" customWidth="1"/>
    <col min="4" max="17" width="10.7109375" style="1" customWidth="1"/>
    <col min="18" max="18" width="2.7109375" style="1" customWidth="1"/>
    <col min="19" max="16384" width="11.42578125" style="1"/>
  </cols>
  <sheetData>
    <row r="1" spans="1:256" s="3" customFormat="1" ht="13.9" customHeight="1">
      <c r="A1" s="184" t="s">
        <v>0</v>
      </c>
      <c r="B1" s="184"/>
      <c r="C1" s="184"/>
      <c r="D1" s="184"/>
      <c r="E1" s="184"/>
      <c r="F1" s="184"/>
      <c r="G1" s="184"/>
      <c r="H1" s="184"/>
      <c r="I1" s="184"/>
      <c r="J1" s="184"/>
      <c r="K1" s="184"/>
      <c r="L1" s="184"/>
      <c r="M1" s="184"/>
      <c r="N1" s="184"/>
      <c r="O1" s="184"/>
      <c r="P1" s="184"/>
      <c r="Q1" s="184"/>
    </row>
    <row r="2" spans="1:256" s="3" customFormat="1" ht="13.9" customHeight="1">
      <c r="A2" s="184"/>
      <c r="B2" s="184"/>
      <c r="C2" s="184"/>
      <c r="D2" s="184"/>
      <c r="E2" s="184"/>
      <c r="F2" s="184"/>
      <c r="G2" s="184"/>
      <c r="H2" s="184"/>
      <c r="I2" s="184"/>
      <c r="J2" s="184"/>
      <c r="K2" s="184"/>
      <c r="L2" s="184"/>
      <c r="M2" s="184"/>
      <c r="N2" s="184"/>
      <c r="O2" s="184"/>
      <c r="P2" s="184"/>
      <c r="Q2" s="184"/>
    </row>
    <row r="3" spans="1:256" s="3" customFormat="1" ht="13.9" customHeight="1">
      <c r="A3" s="184"/>
      <c r="B3" s="184"/>
      <c r="C3" s="184"/>
      <c r="D3" s="184"/>
      <c r="E3" s="184"/>
      <c r="F3" s="184"/>
      <c r="G3" s="184"/>
      <c r="H3" s="184"/>
      <c r="I3" s="184"/>
      <c r="J3" s="184"/>
      <c r="K3" s="184"/>
      <c r="L3" s="184"/>
      <c r="M3" s="184"/>
      <c r="N3" s="184"/>
      <c r="O3" s="184"/>
      <c r="P3" s="184"/>
      <c r="Q3" s="184"/>
    </row>
    <row r="4" spans="1:256" s="3" customFormat="1" ht="13.9" customHeight="1">
      <c r="A4" s="184" t="s">
        <v>1</v>
      </c>
      <c r="B4" s="184"/>
      <c r="C4" s="184"/>
      <c r="D4" s="184"/>
      <c r="E4" s="184"/>
      <c r="F4" s="184"/>
      <c r="G4" s="184"/>
      <c r="H4" s="184"/>
      <c r="I4" s="184"/>
      <c r="J4" s="184"/>
      <c r="K4" s="184"/>
      <c r="L4" s="184"/>
      <c r="M4" s="184"/>
      <c r="N4" s="184"/>
      <c r="O4" s="184"/>
      <c r="P4" s="184"/>
      <c r="Q4" s="184"/>
    </row>
    <row r="5" spans="1:256" s="3" customFormat="1" ht="13.9" customHeight="1">
      <c r="A5" s="184"/>
      <c r="B5" s="184"/>
      <c r="C5" s="184"/>
      <c r="D5" s="184"/>
      <c r="E5" s="184"/>
      <c r="F5" s="184"/>
      <c r="G5" s="184"/>
      <c r="H5" s="184"/>
      <c r="I5" s="184"/>
      <c r="J5" s="184"/>
      <c r="K5" s="184"/>
      <c r="L5" s="184"/>
      <c r="M5" s="184"/>
      <c r="N5" s="184"/>
      <c r="O5" s="184"/>
      <c r="P5" s="184"/>
      <c r="Q5" s="184"/>
    </row>
    <row r="6" spans="1:256" s="3" customFormat="1" ht="13.9" customHeight="1">
      <c r="A6" s="184"/>
      <c r="B6" s="184"/>
      <c r="C6" s="184"/>
      <c r="D6" s="184"/>
      <c r="E6" s="184"/>
      <c r="F6" s="184"/>
      <c r="G6" s="184"/>
      <c r="H6" s="184"/>
      <c r="I6" s="184"/>
      <c r="J6" s="184"/>
      <c r="K6" s="184"/>
      <c r="L6" s="184"/>
      <c r="M6" s="184"/>
      <c r="N6" s="184"/>
      <c r="O6" s="184"/>
      <c r="P6" s="184"/>
      <c r="Q6" s="184"/>
    </row>
    <row r="7" spans="1:256" s="3" customFormat="1" ht="12.75" customHeight="1">
      <c r="A7" s="185"/>
      <c r="B7" s="185"/>
      <c r="C7" s="185"/>
      <c r="D7" s="185"/>
      <c r="E7" s="185"/>
      <c r="F7" s="185"/>
      <c r="G7" s="185"/>
      <c r="H7" s="185"/>
      <c r="I7" s="185"/>
      <c r="J7" s="185"/>
      <c r="K7" s="185"/>
      <c r="L7" s="185"/>
      <c r="M7" s="185"/>
      <c r="N7" s="185"/>
      <c r="O7" s="185"/>
      <c r="P7" s="185"/>
      <c r="Q7" s="185"/>
    </row>
    <row r="8" spans="1:256" ht="30" customHeight="1">
      <c r="A8" s="179" t="s">
        <v>2</v>
      </c>
      <c r="B8" s="179"/>
      <c r="C8" s="179"/>
      <c r="D8" s="179"/>
      <c r="E8" s="179"/>
      <c r="F8" s="179"/>
      <c r="G8" s="179"/>
      <c r="H8" s="179"/>
      <c r="I8" s="179"/>
      <c r="J8" s="179"/>
      <c r="K8" s="179"/>
      <c r="L8" s="179"/>
      <c r="M8" s="179"/>
      <c r="N8" s="179"/>
      <c r="O8" s="179"/>
      <c r="P8" s="179"/>
      <c r="Q8" s="179"/>
    </row>
    <row r="9" spans="1:256" ht="42" customHeight="1">
      <c r="A9" s="182" t="s">
        <v>3</v>
      </c>
      <c r="B9" s="182"/>
      <c r="C9" s="182"/>
      <c r="D9" s="182"/>
      <c r="E9" s="219" t="s">
        <v>223</v>
      </c>
      <c r="F9" s="219"/>
      <c r="G9" s="219"/>
      <c r="H9" s="219"/>
      <c r="I9" s="219"/>
      <c r="J9" s="219"/>
      <c r="K9" s="182" t="s">
        <v>5</v>
      </c>
      <c r="L9" s="182"/>
      <c r="M9" s="182"/>
      <c r="N9" s="201" t="s">
        <v>90</v>
      </c>
      <c r="O9" s="201"/>
      <c r="P9" s="201"/>
      <c r="Q9" s="201"/>
    </row>
    <row r="10" spans="1:256" ht="42" customHeight="1">
      <c r="A10" s="182" t="s">
        <v>7</v>
      </c>
      <c r="B10" s="182"/>
      <c r="C10" s="182"/>
      <c r="D10" s="182"/>
      <c r="E10" s="183" t="s">
        <v>8</v>
      </c>
      <c r="F10" s="183"/>
      <c r="G10" s="183"/>
      <c r="H10" s="183"/>
      <c r="I10" s="183"/>
      <c r="J10" s="183"/>
      <c r="K10" s="182" t="s">
        <v>9</v>
      </c>
      <c r="L10" s="182"/>
      <c r="M10" s="182"/>
      <c r="N10" s="201" t="s">
        <v>10</v>
      </c>
      <c r="O10" s="201"/>
      <c r="P10" s="201"/>
      <c r="Q10" s="201"/>
    </row>
    <row r="11" spans="1:256" ht="52.9" customHeight="1">
      <c r="A11" s="182" t="s">
        <v>11</v>
      </c>
      <c r="B11" s="182"/>
      <c r="C11" s="182"/>
      <c r="D11" s="182"/>
      <c r="E11" s="183" t="s">
        <v>224</v>
      </c>
      <c r="F11" s="183"/>
      <c r="G11" s="183"/>
      <c r="H11" s="183"/>
      <c r="I11" s="183"/>
      <c r="J11" s="183"/>
      <c r="K11" s="182" t="s">
        <v>32</v>
      </c>
      <c r="L11" s="182"/>
      <c r="M11" s="182"/>
      <c r="N11" s="201" t="s">
        <v>33</v>
      </c>
      <c r="O11" s="201"/>
      <c r="P11" s="201"/>
      <c r="Q11" s="201"/>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52</v>
      </c>
      <c r="B13" s="179"/>
      <c r="C13" s="179"/>
      <c r="D13" s="179"/>
      <c r="E13" s="179"/>
      <c r="F13" s="179"/>
      <c r="G13" s="179"/>
      <c r="H13" s="179"/>
      <c r="I13" s="179"/>
      <c r="J13" s="179"/>
      <c r="K13" s="179"/>
      <c r="L13" s="179"/>
      <c r="M13" s="179"/>
      <c r="N13" s="179"/>
      <c r="O13" s="179"/>
      <c r="P13" s="179"/>
      <c r="Q13" s="179"/>
    </row>
    <row r="14" spans="1:256" ht="30" customHeight="1">
      <c r="A14" s="4" t="s">
        <v>53</v>
      </c>
      <c r="B14" s="6"/>
      <c r="C14" s="6" t="s">
        <v>225</v>
      </c>
      <c r="D14" s="6" t="s">
        <v>55</v>
      </c>
      <c r="E14" s="4" t="s">
        <v>56</v>
      </c>
      <c r="F14" s="4" t="s">
        <v>57</v>
      </c>
      <c r="G14" s="4" t="s">
        <v>58</v>
      </c>
      <c r="H14" s="4" t="s">
        <v>59</v>
      </c>
      <c r="I14" s="4" t="s">
        <v>60</v>
      </c>
      <c r="J14" s="4" t="s">
        <v>61</v>
      </c>
      <c r="K14" s="4" t="s">
        <v>62</v>
      </c>
      <c r="L14" s="4" t="s">
        <v>63</v>
      </c>
      <c r="M14" s="4" t="s">
        <v>64</v>
      </c>
      <c r="N14" s="4" t="s">
        <v>65</v>
      </c>
      <c r="O14" s="4" t="s">
        <v>66</v>
      </c>
      <c r="P14" s="182" t="s">
        <v>226</v>
      </c>
      <c r="Q14" s="182"/>
    </row>
    <row r="15" spans="1:256" ht="44.85" customHeight="1">
      <c r="A15" s="178">
        <v>2015</v>
      </c>
      <c r="B15" s="6" t="s">
        <v>227</v>
      </c>
      <c r="C15" s="108"/>
      <c r="D15" s="9">
        <v>122</v>
      </c>
      <c r="E15" s="9">
        <v>122</v>
      </c>
      <c r="F15" s="9">
        <v>123</v>
      </c>
      <c r="G15" s="9">
        <v>122</v>
      </c>
      <c r="H15" s="9">
        <v>122</v>
      </c>
      <c r="I15" s="9">
        <v>122</v>
      </c>
      <c r="J15" s="9">
        <v>160</v>
      </c>
      <c r="K15" s="9">
        <v>172</v>
      </c>
      <c r="L15" s="9">
        <v>195</v>
      </c>
      <c r="M15" s="9">
        <v>187</v>
      </c>
      <c r="N15" s="9">
        <v>200</v>
      </c>
      <c r="O15" s="9">
        <v>105</v>
      </c>
      <c r="P15" s="216">
        <f t="shared" ref="P15:P38" si="0">AVERAGE(D15,F15,G15,H15,I15,J15,K15,L15,M15,N15,O15,D15)</f>
        <v>146</v>
      </c>
      <c r="Q15" s="216"/>
    </row>
    <row r="16" spans="1:256" ht="44.85" customHeight="1">
      <c r="A16" s="178"/>
      <c r="B16" s="8" t="s">
        <v>228</v>
      </c>
      <c r="C16" s="108"/>
      <c r="D16" s="9">
        <v>9</v>
      </c>
      <c r="E16" s="9">
        <v>9</v>
      </c>
      <c r="F16" s="9">
        <v>9</v>
      </c>
      <c r="G16" s="9">
        <v>9</v>
      </c>
      <c r="H16" s="9">
        <v>9</v>
      </c>
      <c r="I16" s="9">
        <v>9</v>
      </c>
      <c r="J16" s="9">
        <v>9</v>
      </c>
      <c r="K16" s="9">
        <v>9</v>
      </c>
      <c r="L16" s="9">
        <v>9</v>
      </c>
      <c r="M16" s="9">
        <v>9</v>
      </c>
      <c r="N16" s="9">
        <v>9</v>
      </c>
      <c r="O16" s="9">
        <v>9</v>
      </c>
      <c r="P16" s="216">
        <f t="shared" si="0"/>
        <v>9</v>
      </c>
      <c r="Q16" s="216"/>
    </row>
    <row r="17" spans="1:17" ht="44.85" customHeight="1">
      <c r="A17" s="178"/>
      <c r="B17" s="8" t="s">
        <v>229</v>
      </c>
      <c r="C17" s="108"/>
      <c r="D17" s="83">
        <f t="shared" ref="D17:O17" si="1">+D15/D16</f>
        <v>13.555555555555555</v>
      </c>
      <c r="E17" s="83">
        <f t="shared" si="1"/>
        <v>13.555555555555555</v>
      </c>
      <c r="F17" s="83">
        <f t="shared" si="1"/>
        <v>13.666666666666666</v>
      </c>
      <c r="G17" s="83">
        <f t="shared" si="1"/>
        <v>13.555555555555555</v>
      </c>
      <c r="H17" s="83">
        <f t="shared" si="1"/>
        <v>13.555555555555555</v>
      </c>
      <c r="I17" s="83">
        <f t="shared" si="1"/>
        <v>13.555555555555555</v>
      </c>
      <c r="J17" s="83">
        <f t="shared" si="1"/>
        <v>17.777777777777779</v>
      </c>
      <c r="K17" s="83">
        <f t="shared" si="1"/>
        <v>19.111111111111111</v>
      </c>
      <c r="L17" s="83">
        <f t="shared" si="1"/>
        <v>21.666666666666668</v>
      </c>
      <c r="M17" s="83">
        <f t="shared" si="1"/>
        <v>20.777777777777779</v>
      </c>
      <c r="N17" s="83">
        <f t="shared" si="1"/>
        <v>22.222222222222221</v>
      </c>
      <c r="O17" s="83">
        <f t="shared" si="1"/>
        <v>11.666666666666666</v>
      </c>
      <c r="P17" s="218">
        <f t="shared" si="0"/>
        <v>16.222222222222221</v>
      </c>
      <c r="Q17" s="218"/>
    </row>
    <row r="18" spans="1:17" ht="44.85" customHeight="1">
      <c r="A18" s="178"/>
      <c r="B18" s="6" t="s">
        <v>230</v>
      </c>
      <c r="C18" s="108"/>
      <c r="D18" s="9">
        <f t="shared" ref="D18:O18" si="2">+D20+D21+D22+D23+D24+D25+D26+D27+D28+D29+D30+D31</f>
        <v>1241</v>
      </c>
      <c r="E18" s="9">
        <f t="shared" si="2"/>
        <v>0</v>
      </c>
      <c r="F18" s="9">
        <f t="shared" si="2"/>
        <v>1297</v>
      </c>
      <c r="G18" s="9">
        <f t="shared" si="2"/>
        <v>0</v>
      </c>
      <c r="H18" s="9">
        <f t="shared" si="2"/>
        <v>1244</v>
      </c>
      <c r="I18" s="9">
        <f t="shared" si="2"/>
        <v>0</v>
      </c>
      <c r="J18" s="9">
        <f t="shared" si="2"/>
        <v>1581</v>
      </c>
      <c r="K18" s="9">
        <f t="shared" si="2"/>
        <v>0</v>
      </c>
      <c r="L18" s="9">
        <f t="shared" si="2"/>
        <v>1464</v>
      </c>
      <c r="M18" s="9">
        <f t="shared" si="2"/>
        <v>0</v>
      </c>
      <c r="N18" s="9">
        <f t="shared" si="2"/>
        <v>1388</v>
      </c>
      <c r="O18" s="9">
        <f t="shared" si="2"/>
        <v>0</v>
      </c>
      <c r="P18" s="216">
        <f t="shared" si="0"/>
        <v>788</v>
      </c>
      <c r="Q18" s="216"/>
    </row>
    <row r="19" spans="1:17" ht="44.85" customHeight="1">
      <c r="A19" s="178"/>
      <c r="B19" s="8" t="s">
        <v>229</v>
      </c>
      <c r="C19" s="108"/>
      <c r="D19" s="83">
        <f t="shared" ref="D19:O19" si="3">+D18/D16</f>
        <v>137.88888888888889</v>
      </c>
      <c r="E19" s="83">
        <f t="shared" si="3"/>
        <v>0</v>
      </c>
      <c r="F19" s="83">
        <f t="shared" si="3"/>
        <v>144.11111111111111</v>
      </c>
      <c r="G19" s="83">
        <f t="shared" si="3"/>
        <v>0</v>
      </c>
      <c r="H19" s="83">
        <f t="shared" si="3"/>
        <v>138.22222222222223</v>
      </c>
      <c r="I19" s="83">
        <f t="shared" si="3"/>
        <v>0</v>
      </c>
      <c r="J19" s="83">
        <f t="shared" si="3"/>
        <v>175.66666666666666</v>
      </c>
      <c r="K19" s="83">
        <f t="shared" si="3"/>
        <v>0</v>
      </c>
      <c r="L19" s="83">
        <f t="shared" si="3"/>
        <v>162.66666666666666</v>
      </c>
      <c r="M19" s="83">
        <f t="shared" si="3"/>
        <v>0</v>
      </c>
      <c r="N19" s="83">
        <f t="shared" si="3"/>
        <v>154.22222222222223</v>
      </c>
      <c r="O19" s="83">
        <f t="shared" si="3"/>
        <v>0</v>
      </c>
      <c r="P19" s="218">
        <f t="shared" si="0"/>
        <v>87.555555555555557</v>
      </c>
      <c r="Q19" s="218"/>
    </row>
    <row r="20" spans="1:17" ht="44.85" customHeight="1">
      <c r="A20" s="178"/>
      <c r="B20" s="8" t="s">
        <v>231</v>
      </c>
      <c r="C20" s="108"/>
      <c r="D20" s="9">
        <v>81</v>
      </c>
      <c r="E20" s="9"/>
      <c r="F20" s="9">
        <v>102</v>
      </c>
      <c r="G20" s="9"/>
      <c r="H20" s="9">
        <v>97</v>
      </c>
      <c r="I20" s="9"/>
      <c r="J20" s="9">
        <v>82</v>
      </c>
      <c r="K20" s="9"/>
      <c r="L20" s="9">
        <v>91</v>
      </c>
      <c r="M20" s="9"/>
      <c r="N20" s="9">
        <v>83</v>
      </c>
      <c r="O20" s="33"/>
      <c r="P20" s="215">
        <f t="shared" si="0"/>
        <v>88.142857142857139</v>
      </c>
      <c r="Q20" s="215"/>
    </row>
    <row r="21" spans="1:17" ht="44.85" customHeight="1">
      <c r="A21" s="178"/>
      <c r="B21" s="8" t="s">
        <v>232</v>
      </c>
      <c r="C21" s="108"/>
      <c r="D21" s="9">
        <v>69</v>
      </c>
      <c r="E21" s="9"/>
      <c r="F21" s="9">
        <v>90</v>
      </c>
      <c r="G21" s="9"/>
      <c r="H21" s="9">
        <v>91</v>
      </c>
      <c r="I21" s="9"/>
      <c r="J21" s="9">
        <v>77</v>
      </c>
      <c r="K21" s="9"/>
      <c r="L21" s="9">
        <v>85</v>
      </c>
      <c r="M21" s="9"/>
      <c r="N21" s="9">
        <v>80</v>
      </c>
      <c r="O21" s="33"/>
      <c r="P21" s="215">
        <f t="shared" si="0"/>
        <v>80.142857142857139</v>
      </c>
      <c r="Q21" s="215"/>
    </row>
    <row r="22" spans="1:17" ht="44.85" customHeight="1">
      <c r="A22" s="178"/>
      <c r="B22" s="8" t="s">
        <v>233</v>
      </c>
      <c r="C22" s="108"/>
      <c r="D22" s="9">
        <v>0</v>
      </c>
      <c r="E22" s="9"/>
      <c r="F22" s="9">
        <v>0</v>
      </c>
      <c r="G22" s="9"/>
      <c r="H22" s="9">
        <v>0</v>
      </c>
      <c r="I22" s="9"/>
      <c r="J22" s="9">
        <v>0</v>
      </c>
      <c r="K22" s="9"/>
      <c r="L22" s="9">
        <v>0</v>
      </c>
      <c r="M22" s="9"/>
      <c r="N22" s="9">
        <v>0</v>
      </c>
      <c r="O22" s="33"/>
      <c r="P22" s="215">
        <f t="shared" si="0"/>
        <v>0</v>
      </c>
      <c r="Q22" s="215"/>
    </row>
    <row r="23" spans="1:17" ht="44.85" customHeight="1">
      <c r="A23" s="178"/>
      <c r="B23" s="8" t="s">
        <v>234</v>
      </c>
      <c r="C23" s="108"/>
      <c r="D23" s="9">
        <v>624</v>
      </c>
      <c r="E23" s="9"/>
      <c r="F23" s="9">
        <v>635</v>
      </c>
      <c r="G23" s="9"/>
      <c r="H23" s="9">
        <v>611</v>
      </c>
      <c r="I23" s="9"/>
      <c r="J23" s="9">
        <v>785</v>
      </c>
      <c r="K23" s="9"/>
      <c r="L23" s="9">
        <v>753</v>
      </c>
      <c r="M23" s="9"/>
      <c r="N23" s="9">
        <v>674</v>
      </c>
      <c r="O23" s="33"/>
      <c r="P23" s="215">
        <f t="shared" si="0"/>
        <v>672.28571428571433</v>
      </c>
      <c r="Q23" s="215"/>
    </row>
    <row r="24" spans="1:17" ht="44.85" customHeight="1">
      <c r="A24" s="178"/>
      <c r="B24" s="8" t="s">
        <v>235</v>
      </c>
      <c r="C24" s="108"/>
      <c r="D24" s="216">
        <v>62</v>
      </c>
      <c r="E24" s="9"/>
      <c r="F24" s="216">
        <v>89</v>
      </c>
      <c r="G24" s="9"/>
      <c r="H24" s="216">
        <v>94</v>
      </c>
      <c r="I24" s="9"/>
      <c r="J24" s="216">
        <v>94</v>
      </c>
      <c r="K24" s="9"/>
      <c r="L24" s="216">
        <v>103</v>
      </c>
      <c r="M24" s="9"/>
      <c r="N24" s="216">
        <v>173</v>
      </c>
      <c r="O24" s="33"/>
      <c r="P24" s="215">
        <f t="shared" si="0"/>
        <v>96.714285714285708</v>
      </c>
      <c r="Q24" s="215"/>
    </row>
    <row r="25" spans="1:17" ht="44.85" customHeight="1">
      <c r="A25" s="178"/>
      <c r="B25" s="8" t="s">
        <v>236</v>
      </c>
      <c r="C25" s="108"/>
      <c r="D25" s="216"/>
      <c r="E25" s="9"/>
      <c r="F25" s="216"/>
      <c r="G25" s="9"/>
      <c r="H25" s="216"/>
      <c r="I25" s="9"/>
      <c r="J25" s="216"/>
      <c r="K25" s="9"/>
      <c r="L25" s="216"/>
      <c r="M25" s="9"/>
      <c r="N25" s="216"/>
      <c r="O25" s="33"/>
      <c r="P25" s="215" t="e">
        <f t="shared" si="0"/>
        <v>#DIV/0!</v>
      </c>
      <c r="Q25" s="215"/>
    </row>
    <row r="26" spans="1:17" ht="44.85" customHeight="1">
      <c r="A26" s="178"/>
      <c r="B26" s="8" t="s">
        <v>237</v>
      </c>
      <c r="C26" s="108"/>
      <c r="D26" s="9">
        <v>342</v>
      </c>
      <c r="E26" s="9"/>
      <c r="F26" s="9">
        <v>327</v>
      </c>
      <c r="G26" s="9"/>
      <c r="H26" s="9">
        <v>322</v>
      </c>
      <c r="I26" s="9"/>
      <c r="J26" s="9">
        <v>492</v>
      </c>
      <c r="K26" s="9"/>
      <c r="L26" s="9">
        <v>399</v>
      </c>
      <c r="M26" s="9"/>
      <c r="N26" s="9">
        <v>332</v>
      </c>
      <c r="O26" s="33"/>
      <c r="P26" s="215">
        <f t="shared" si="0"/>
        <v>365.14285714285717</v>
      </c>
      <c r="Q26" s="215"/>
    </row>
    <row r="27" spans="1:17" ht="44.85" customHeight="1">
      <c r="A27" s="178"/>
      <c r="B27" s="8" t="s">
        <v>238</v>
      </c>
      <c r="C27" s="108"/>
      <c r="D27" s="9">
        <v>0</v>
      </c>
      <c r="E27" s="9"/>
      <c r="F27" s="9">
        <v>0</v>
      </c>
      <c r="G27" s="9"/>
      <c r="H27" s="9">
        <v>0</v>
      </c>
      <c r="I27" s="9"/>
      <c r="J27" s="9">
        <v>0</v>
      </c>
      <c r="K27" s="9"/>
      <c r="L27" s="9">
        <v>0</v>
      </c>
      <c r="M27" s="9"/>
      <c r="N27" s="9">
        <v>0</v>
      </c>
      <c r="O27" s="33"/>
      <c r="P27" s="215">
        <f t="shared" si="0"/>
        <v>0</v>
      </c>
      <c r="Q27" s="215"/>
    </row>
    <row r="28" spans="1:17" ht="44.85" customHeight="1">
      <c r="A28" s="178"/>
      <c r="B28" s="8" t="s">
        <v>239</v>
      </c>
      <c r="C28" s="108"/>
      <c r="D28" s="9">
        <v>0</v>
      </c>
      <c r="E28" s="9"/>
      <c r="F28" s="9">
        <v>0</v>
      </c>
      <c r="G28" s="9"/>
      <c r="H28" s="9">
        <v>0</v>
      </c>
      <c r="I28" s="9"/>
      <c r="J28" s="9">
        <v>0</v>
      </c>
      <c r="K28" s="9"/>
      <c r="L28" s="9">
        <v>0</v>
      </c>
      <c r="M28" s="9"/>
      <c r="N28" s="9">
        <v>0</v>
      </c>
      <c r="O28" s="33"/>
      <c r="P28" s="215">
        <f t="shared" si="0"/>
        <v>0</v>
      </c>
      <c r="Q28" s="215"/>
    </row>
    <row r="29" spans="1:17" ht="44.85" customHeight="1">
      <c r="A29" s="178"/>
      <c r="B29" s="8" t="s">
        <v>240</v>
      </c>
      <c r="C29" s="108"/>
      <c r="D29" s="9">
        <v>0</v>
      </c>
      <c r="E29" s="9"/>
      <c r="F29" s="9">
        <v>0</v>
      </c>
      <c r="G29" s="9"/>
      <c r="H29" s="9">
        <v>0</v>
      </c>
      <c r="I29" s="9"/>
      <c r="J29" s="9">
        <v>0</v>
      </c>
      <c r="K29" s="9"/>
      <c r="L29" s="9">
        <v>0</v>
      </c>
      <c r="M29" s="9"/>
      <c r="N29" s="9">
        <v>0</v>
      </c>
      <c r="O29" s="33"/>
      <c r="P29" s="215">
        <f t="shared" si="0"/>
        <v>0</v>
      </c>
      <c r="Q29" s="215"/>
    </row>
    <row r="30" spans="1:17" ht="44.85" customHeight="1">
      <c r="A30" s="178"/>
      <c r="B30" s="8" t="s">
        <v>241</v>
      </c>
      <c r="C30" s="108"/>
      <c r="D30" s="9">
        <v>0</v>
      </c>
      <c r="E30" s="9"/>
      <c r="F30" s="9">
        <v>0</v>
      </c>
      <c r="G30" s="9"/>
      <c r="H30" s="9">
        <v>0</v>
      </c>
      <c r="I30" s="9"/>
      <c r="J30" s="9">
        <v>0</v>
      </c>
      <c r="K30" s="9"/>
      <c r="L30" s="9">
        <v>0</v>
      </c>
      <c r="M30" s="9"/>
      <c r="N30" s="9">
        <v>0</v>
      </c>
      <c r="O30" s="33"/>
      <c r="P30" s="215">
        <f t="shared" si="0"/>
        <v>0</v>
      </c>
      <c r="Q30" s="215"/>
    </row>
    <row r="31" spans="1:17" ht="44.85" customHeight="1">
      <c r="A31" s="178"/>
      <c r="B31" s="8" t="s">
        <v>242</v>
      </c>
      <c r="C31" s="108"/>
      <c r="D31" s="9">
        <v>63</v>
      </c>
      <c r="E31" s="9"/>
      <c r="F31" s="9">
        <v>54</v>
      </c>
      <c r="G31" s="9"/>
      <c r="H31" s="9">
        <v>29</v>
      </c>
      <c r="I31" s="9"/>
      <c r="J31" s="9">
        <v>51</v>
      </c>
      <c r="K31" s="9"/>
      <c r="L31" s="9">
        <v>33</v>
      </c>
      <c r="M31" s="9"/>
      <c r="N31" s="9">
        <v>46</v>
      </c>
      <c r="O31" s="33"/>
      <c r="P31" s="215">
        <f t="shared" si="0"/>
        <v>48.428571428571431</v>
      </c>
      <c r="Q31" s="215"/>
    </row>
    <row r="32" spans="1:17" ht="44.85" customHeight="1">
      <c r="A32" s="178"/>
      <c r="B32" s="6" t="s">
        <v>243</v>
      </c>
      <c r="C32" s="108"/>
      <c r="D32" s="32">
        <f t="shared" ref="D32:O32" si="4">+D34+D35+D36+D37+D38+D39+D40+D41+D42+D43+D44+D45</f>
        <v>48640</v>
      </c>
      <c r="E32" s="32">
        <f t="shared" si="4"/>
        <v>49333</v>
      </c>
      <c r="F32" s="32">
        <f t="shared" si="4"/>
        <v>50285</v>
      </c>
      <c r="G32" s="32">
        <f t="shared" si="4"/>
        <v>51410</v>
      </c>
      <c r="H32" s="32">
        <f t="shared" si="4"/>
        <v>50309</v>
      </c>
      <c r="I32" s="32">
        <f t="shared" si="4"/>
        <v>51487</v>
      </c>
      <c r="J32" s="32">
        <f t="shared" si="4"/>
        <v>49557</v>
      </c>
      <c r="K32" s="32">
        <f t="shared" si="4"/>
        <v>52205</v>
      </c>
      <c r="L32" s="32">
        <f t="shared" si="4"/>
        <v>51095</v>
      </c>
      <c r="M32" s="32">
        <f t="shared" si="4"/>
        <v>53477</v>
      </c>
      <c r="N32" s="32">
        <f t="shared" si="4"/>
        <v>56314</v>
      </c>
      <c r="O32" s="32">
        <f t="shared" si="4"/>
        <v>51288.4</v>
      </c>
      <c r="P32" s="217">
        <f t="shared" si="0"/>
        <v>51225.616666666669</v>
      </c>
      <c r="Q32" s="217"/>
    </row>
    <row r="33" spans="1:17" ht="44.85" customHeight="1">
      <c r="A33" s="178"/>
      <c r="B33" s="8" t="s">
        <v>229</v>
      </c>
      <c r="C33" s="108"/>
      <c r="D33" s="83">
        <f t="shared" ref="D33:O33" si="5">+D32/D16</f>
        <v>5404.4444444444443</v>
      </c>
      <c r="E33" s="83">
        <f t="shared" si="5"/>
        <v>5481.4444444444443</v>
      </c>
      <c r="F33" s="83">
        <f t="shared" si="5"/>
        <v>5587.2222222222226</v>
      </c>
      <c r="G33" s="83">
        <f t="shared" si="5"/>
        <v>5712.2222222222226</v>
      </c>
      <c r="H33" s="83">
        <f t="shared" si="5"/>
        <v>5589.8888888888887</v>
      </c>
      <c r="I33" s="83">
        <f t="shared" si="5"/>
        <v>5720.7777777777774</v>
      </c>
      <c r="J33" s="83">
        <f t="shared" si="5"/>
        <v>5506.333333333333</v>
      </c>
      <c r="K33" s="83">
        <f t="shared" si="5"/>
        <v>5800.5555555555557</v>
      </c>
      <c r="L33" s="83">
        <f t="shared" si="5"/>
        <v>5677.2222222222226</v>
      </c>
      <c r="M33" s="83">
        <f t="shared" si="5"/>
        <v>5941.8888888888887</v>
      </c>
      <c r="N33" s="83">
        <f t="shared" si="5"/>
        <v>6257.1111111111113</v>
      </c>
      <c r="O33" s="83">
        <f t="shared" si="5"/>
        <v>5698.7111111111117</v>
      </c>
      <c r="P33" s="215">
        <f t="shared" si="0"/>
        <v>5691.7351851851854</v>
      </c>
      <c r="Q33" s="215"/>
    </row>
    <row r="34" spans="1:17" ht="44.85" customHeight="1">
      <c r="A34" s="178"/>
      <c r="B34" s="8" t="s">
        <v>231</v>
      </c>
      <c r="C34" s="108"/>
      <c r="D34" s="9">
        <v>7605</v>
      </c>
      <c r="E34" s="9">
        <v>7064</v>
      </c>
      <c r="F34" s="9">
        <v>7045</v>
      </c>
      <c r="G34" s="9">
        <v>7717</v>
      </c>
      <c r="H34" s="9">
        <v>6677</v>
      </c>
      <c r="I34" s="9">
        <v>7946</v>
      </c>
      <c r="J34" s="9">
        <v>7723</v>
      </c>
      <c r="K34" s="9">
        <v>7799</v>
      </c>
      <c r="L34" s="9">
        <v>7475</v>
      </c>
      <c r="M34" s="9">
        <v>9330</v>
      </c>
      <c r="N34" s="9">
        <v>8805</v>
      </c>
      <c r="O34" s="9">
        <v>7612</v>
      </c>
      <c r="P34" s="215">
        <f t="shared" si="0"/>
        <v>7778.25</v>
      </c>
      <c r="Q34" s="215"/>
    </row>
    <row r="35" spans="1:17" ht="44.85" customHeight="1">
      <c r="A35" s="178"/>
      <c r="B35" s="8" t="s">
        <v>232</v>
      </c>
      <c r="C35" s="108"/>
      <c r="D35" s="9">
        <v>5000</v>
      </c>
      <c r="E35" s="9">
        <v>5260</v>
      </c>
      <c r="F35" s="9">
        <v>5200</v>
      </c>
      <c r="G35" s="9">
        <v>5740</v>
      </c>
      <c r="H35" s="9">
        <v>4980</v>
      </c>
      <c r="I35" s="9">
        <v>5320</v>
      </c>
      <c r="J35" s="9">
        <v>5140</v>
      </c>
      <c r="K35" s="9">
        <v>4840</v>
      </c>
      <c r="L35" s="9">
        <v>4300</v>
      </c>
      <c r="M35" s="9">
        <v>4680</v>
      </c>
      <c r="N35" s="9">
        <v>4140</v>
      </c>
      <c r="O35" s="9">
        <v>4360</v>
      </c>
      <c r="P35" s="215">
        <f t="shared" si="0"/>
        <v>4891.666666666667</v>
      </c>
      <c r="Q35" s="215"/>
    </row>
    <row r="36" spans="1:17" ht="44.85" customHeight="1">
      <c r="A36" s="178"/>
      <c r="B36" s="8" t="s">
        <v>233</v>
      </c>
      <c r="C36" s="108"/>
      <c r="D36" s="9">
        <v>1959</v>
      </c>
      <c r="E36" s="9">
        <v>1773</v>
      </c>
      <c r="F36" s="9">
        <v>1689</v>
      </c>
      <c r="G36" s="9">
        <v>1950</v>
      </c>
      <c r="H36" s="9">
        <v>1918</v>
      </c>
      <c r="I36" s="9">
        <v>2100</v>
      </c>
      <c r="J36" s="9">
        <v>2056</v>
      </c>
      <c r="K36" s="9">
        <v>2109</v>
      </c>
      <c r="L36" s="9">
        <v>2140</v>
      </c>
      <c r="M36" s="9">
        <v>2447</v>
      </c>
      <c r="N36" s="9">
        <v>2613</v>
      </c>
      <c r="O36" s="9">
        <v>2681</v>
      </c>
      <c r="P36" s="215">
        <f t="shared" si="0"/>
        <v>2135.0833333333335</v>
      </c>
      <c r="Q36" s="215"/>
    </row>
    <row r="37" spans="1:17" ht="44.85" customHeight="1">
      <c r="A37" s="178"/>
      <c r="B37" s="8" t="s">
        <v>234</v>
      </c>
      <c r="C37" s="108"/>
      <c r="D37" s="32">
        <v>12468</v>
      </c>
      <c r="E37" s="32">
        <v>12867</v>
      </c>
      <c r="F37" s="32">
        <v>13793</v>
      </c>
      <c r="G37" s="32">
        <v>12873</v>
      </c>
      <c r="H37" s="32">
        <v>13021</v>
      </c>
      <c r="I37" s="32">
        <v>13539</v>
      </c>
      <c r="J37" s="32">
        <v>13520</v>
      </c>
      <c r="K37" s="32">
        <v>14480</v>
      </c>
      <c r="L37" s="32">
        <v>13600</v>
      </c>
      <c r="M37" s="32">
        <v>14160</v>
      </c>
      <c r="N37" s="32">
        <v>15120</v>
      </c>
      <c r="O37" s="32">
        <v>13696</v>
      </c>
      <c r="P37" s="217">
        <f t="shared" si="0"/>
        <v>13561.5</v>
      </c>
      <c r="Q37" s="217"/>
    </row>
    <row r="38" spans="1:17" ht="44.85" customHeight="1">
      <c r="A38" s="178"/>
      <c r="B38" s="8" t="s">
        <v>235</v>
      </c>
      <c r="C38" s="108"/>
      <c r="D38" s="216">
        <v>1700</v>
      </c>
      <c r="E38" s="216">
        <v>2400</v>
      </c>
      <c r="F38" s="216">
        <v>2400</v>
      </c>
      <c r="G38" s="216">
        <v>2500</v>
      </c>
      <c r="H38" s="216">
        <v>3200</v>
      </c>
      <c r="I38" s="216">
        <v>2700</v>
      </c>
      <c r="J38" s="216">
        <v>2600</v>
      </c>
      <c r="K38" s="216">
        <v>2900</v>
      </c>
      <c r="L38" s="216">
        <v>3100</v>
      </c>
      <c r="M38" s="216">
        <v>2400</v>
      </c>
      <c r="N38" s="216">
        <v>3300</v>
      </c>
      <c r="O38" s="216">
        <v>2600</v>
      </c>
      <c r="P38" s="215">
        <f t="shared" si="0"/>
        <v>2591.6666666666665</v>
      </c>
      <c r="Q38" s="215"/>
    </row>
    <row r="39" spans="1:17" ht="44.85" customHeight="1">
      <c r="A39" s="178"/>
      <c r="B39" s="8" t="s">
        <v>236</v>
      </c>
      <c r="C39" s="108"/>
      <c r="D39" s="216"/>
      <c r="E39" s="216"/>
      <c r="F39" s="216"/>
      <c r="G39" s="216"/>
      <c r="H39" s="216"/>
      <c r="I39" s="216"/>
      <c r="J39" s="216"/>
      <c r="K39" s="216"/>
      <c r="L39" s="216"/>
      <c r="M39" s="216"/>
      <c r="N39" s="216"/>
      <c r="O39" s="216"/>
      <c r="P39" s="202"/>
      <c r="Q39" s="202"/>
    </row>
    <row r="40" spans="1:17" ht="44.85" customHeight="1">
      <c r="A40" s="178"/>
      <c r="B40" s="8" t="s">
        <v>237</v>
      </c>
      <c r="C40" s="108"/>
      <c r="D40" s="32">
        <v>19774</v>
      </c>
      <c r="E40" s="32">
        <v>19345</v>
      </c>
      <c r="F40" s="32">
        <v>19127</v>
      </c>
      <c r="G40" s="32">
        <v>19377</v>
      </c>
      <c r="H40" s="32">
        <v>19205</v>
      </c>
      <c r="I40" s="32">
        <v>18699</v>
      </c>
      <c r="J40" s="32">
        <v>17420</v>
      </c>
      <c r="K40" s="32">
        <v>18759</v>
      </c>
      <c r="L40" s="32">
        <v>19020</v>
      </c>
      <c r="M40" s="32">
        <v>18900</v>
      </c>
      <c r="N40" s="32">
        <v>20970</v>
      </c>
      <c r="O40" s="32">
        <v>18979</v>
      </c>
      <c r="P40" s="217">
        <f t="shared" ref="P40:P47" si="6">AVERAGE(D40,F40,G40,H40,I40,J40,K40,L40,M40,N40,O40,D40)</f>
        <v>19167</v>
      </c>
      <c r="Q40" s="217"/>
    </row>
    <row r="41" spans="1:17" ht="44.85" customHeight="1">
      <c r="A41" s="178"/>
      <c r="B41" s="8" t="s">
        <v>238</v>
      </c>
      <c r="C41" s="108"/>
      <c r="D41" s="9">
        <v>0</v>
      </c>
      <c r="E41" s="9">
        <v>0</v>
      </c>
      <c r="F41" s="9">
        <v>0</v>
      </c>
      <c r="G41" s="9">
        <v>0</v>
      </c>
      <c r="H41" s="9">
        <v>0</v>
      </c>
      <c r="I41" s="9">
        <v>0</v>
      </c>
      <c r="J41" s="9">
        <v>0</v>
      </c>
      <c r="K41" s="9">
        <v>0</v>
      </c>
      <c r="L41" s="9">
        <v>0</v>
      </c>
      <c r="M41" s="9">
        <v>0</v>
      </c>
      <c r="N41" s="9">
        <v>0</v>
      </c>
      <c r="O41" s="9">
        <v>0</v>
      </c>
      <c r="P41" s="215">
        <f t="shared" si="6"/>
        <v>0</v>
      </c>
      <c r="Q41" s="215"/>
    </row>
    <row r="42" spans="1:17" ht="44.85" customHeight="1">
      <c r="A42" s="178"/>
      <c r="B42" s="8" t="s">
        <v>239</v>
      </c>
      <c r="C42" s="108"/>
      <c r="D42" s="9">
        <v>0</v>
      </c>
      <c r="E42" s="9">
        <v>0</v>
      </c>
      <c r="F42" s="9">
        <v>0</v>
      </c>
      <c r="G42" s="9">
        <v>0</v>
      </c>
      <c r="H42" s="9">
        <v>0</v>
      </c>
      <c r="I42" s="9">
        <v>0</v>
      </c>
      <c r="J42" s="9">
        <v>0</v>
      </c>
      <c r="K42" s="9">
        <v>0</v>
      </c>
      <c r="L42" s="9">
        <v>0</v>
      </c>
      <c r="M42" s="9">
        <v>0</v>
      </c>
      <c r="N42" s="9">
        <v>0</v>
      </c>
      <c r="O42" s="9">
        <v>0</v>
      </c>
      <c r="P42" s="215">
        <f t="shared" si="6"/>
        <v>0</v>
      </c>
      <c r="Q42" s="215"/>
    </row>
    <row r="43" spans="1:17" ht="44.85" customHeight="1">
      <c r="A43" s="178"/>
      <c r="B43" s="8" t="s">
        <v>240</v>
      </c>
      <c r="C43" s="108"/>
      <c r="D43" s="9">
        <v>0</v>
      </c>
      <c r="E43" s="9">
        <v>0</v>
      </c>
      <c r="F43" s="9">
        <v>0</v>
      </c>
      <c r="G43" s="9">
        <v>0</v>
      </c>
      <c r="H43" s="9">
        <v>0</v>
      </c>
      <c r="I43" s="9">
        <v>0</v>
      </c>
      <c r="J43" s="9">
        <v>0</v>
      </c>
      <c r="K43" s="9">
        <v>0</v>
      </c>
      <c r="L43" s="9">
        <v>0</v>
      </c>
      <c r="M43" s="9">
        <v>0</v>
      </c>
      <c r="N43" s="9">
        <v>0</v>
      </c>
      <c r="O43" s="9">
        <v>0</v>
      </c>
      <c r="P43" s="215">
        <f t="shared" si="6"/>
        <v>0</v>
      </c>
      <c r="Q43" s="215"/>
    </row>
    <row r="44" spans="1:17" ht="44.85" customHeight="1">
      <c r="A44" s="178"/>
      <c r="B44" s="8" t="s">
        <v>241</v>
      </c>
      <c r="C44" s="108"/>
      <c r="D44" s="9">
        <v>134</v>
      </c>
      <c r="E44" s="9">
        <v>204</v>
      </c>
      <c r="F44" s="9">
        <v>311</v>
      </c>
      <c r="G44" s="9">
        <v>653</v>
      </c>
      <c r="H44" s="9">
        <v>588</v>
      </c>
      <c r="I44" s="9">
        <v>523</v>
      </c>
      <c r="J44" s="9">
        <v>318</v>
      </c>
      <c r="K44" s="9">
        <v>478</v>
      </c>
      <c r="L44" s="9">
        <v>620</v>
      </c>
      <c r="M44" s="9">
        <v>660</v>
      </c>
      <c r="N44" s="9">
        <v>586</v>
      </c>
      <c r="O44" s="9">
        <v>532.4</v>
      </c>
      <c r="P44" s="215">
        <f t="shared" si="6"/>
        <v>461.45</v>
      </c>
      <c r="Q44" s="215"/>
    </row>
    <row r="45" spans="1:17" ht="44.85" customHeight="1">
      <c r="A45" s="178"/>
      <c r="B45" s="8" t="s">
        <v>242</v>
      </c>
      <c r="C45" s="108"/>
      <c r="D45" s="9">
        <v>0</v>
      </c>
      <c r="E45" s="9">
        <v>420</v>
      </c>
      <c r="F45" s="9">
        <v>720</v>
      </c>
      <c r="G45" s="9">
        <v>600</v>
      </c>
      <c r="H45" s="9">
        <v>720</v>
      </c>
      <c r="I45" s="9">
        <v>660</v>
      </c>
      <c r="J45" s="9">
        <v>780</v>
      </c>
      <c r="K45" s="9">
        <v>840</v>
      </c>
      <c r="L45" s="9">
        <v>840</v>
      </c>
      <c r="M45" s="9">
        <v>900</v>
      </c>
      <c r="N45" s="9">
        <v>780</v>
      </c>
      <c r="O45" s="9">
        <v>828</v>
      </c>
      <c r="P45" s="215">
        <f t="shared" si="6"/>
        <v>639</v>
      </c>
      <c r="Q45" s="215"/>
    </row>
    <row r="46" spans="1:17" ht="44.85" customHeight="1">
      <c r="A46" s="178"/>
      <c r="B46" s="8"/>
      <c r="C46" s="108"/>
      <c r="D46" s="9"/>
      <c r="E46" s="9"/>
      <c r="F46" s="9"/>
      <c r="G46" s="9"/>
      <c r="H46" s="9"/>
      <c r="I46" s="9"/>
      <c r="J46" s="9"/>
      <c r="K46" s="9"/>
      <c r="L46" s="9"/>
      <c r="M46" s="9"/>
      <c r="N46" s="9"/>
      <c r="O46" s="33"/>
      <c r="P46" s="216" t="e">
        <f t="shared" si="6"/>
        <v>#DIV/0!</v>
      </c>
      <c r="Q46" s="216"/>
    </row>
    <row r="47" spans="1:17" ht="44.85" customHeight="1">
      <c r="A47" s="178"/>
      <c r="B47" s="8"/>
      <c r="C47" s="108"/>
      <c r="D47" s="9"/>
      <c r="E47" s="9"/>
      <c r="F47" s="9"/>
      <c r="G47" s="9"/>
      <c r="H47" s="9"/>
      <c r="I47" s="9"/>
      <c r="J47" s="9"/>
      <c r="K47" s="9"/>
      <c r="L47" s="9"/>
      <c r="M47" s="9"/>
      <c r="N47" s="9"/>
      <c r="O47" s="33"/>
      <c r="P47" s="216" t="e">
        <f t="shared" si="6"/>
        <v>#DIV/0!</v>
      </c>
      <c r="Q47" s="216"/>
    </row>
    <row r="48" spans="1:17" s="15" customFormat="1" ht="12.75" customHeight="1">
      <c r="A48" s="13"/>
      <c r="B48" s="13"/>
      <c r="C48" s="13"/>
      <c r="D48" s="14">
        <v>0.8</v>
      </c>
      <c r="E48" s="14">
        <v>0.8</v>
      </c>
      <c r="F48" s="14">
        <v>0.8</v>
      </c>
      <c r="G48" s="14">
        <v>0.8</v>
      </c>
      <c r="H48" s="14">
        <v>0.8</v>
      </c>
      <c r="I48" s="14">
        <v>0.8</v>
      </c>
      <c r="J48" s="14">
        <v>0.8</v>
      </c>
      <c r="K48" s="14">
        <v>0.8</v>
      </c>
      <c r="L48" s="14">
        <v>0.8</v>
      </c>
      <c r="M48" s="14">
        <v>0.8</v>
      </c>
      <c r="N48" s="14">
        <v>0.8</v>
      </c>
      <c r="O48" s="14">
        <v>0.8</v>
      </c>
      <c r="P48" s="14"/>
      <c r="Q48" s="34"/>
    </row>
    <row r="49" spans="1:17" ht="30" customHeight="1">
      <c r="A49" s="180"/>
      <c r="B49" s="180"/>
      <c r="C49" s="180"/>
      <c r="D49" s="180"/>
      <c r="E49" s="180"/>
      <c r="F49" s="180"/>
      <c r="G49" s="180"/>
      <c r="H49" s="180"/>
      <c r="I49" s="180"/>
      <c r="J49" s="180"/>
      <c r="K49" s="180"/>
      <c r="L49" s="181"/>
      <c r="M49" s="181"/>
      <c r="N49" s="181"/>
      <c r="O49" s="181"/>
      <c r="P49" s="181"/>
      <c r="Q49" s="181"/>
    </row>
    <row r="50" spans="1:17" ht="36.6" customHeight="1">
      <c r="A50" s="109"/>
      <c r="B50" s="110"/>
      <c r="C50" s="110"/>
      <c r="D50" s="110"/>
      <c r="E50" s="110"/>
      <c r="F50" s="110"/>
      <c r="G50" s="110"/>
      <c r="H50" s="110"/>
      <c r="I50" s="111"/>
      <c r="J50" s="111"/>
      <c r="K50" s="112"/>
      <c r="L50" s="182" t="s">
        <v>84</v>
      </c>
      <c r="M50" s="182"/>
      <c r="N50" s="182"/>
      <c r="O50" s="182"/>
      <c r="P50" s="182"/>
      <c r="Q50" s="182"/>
    </row>
    <row r="51" spans="1:17" ht="36.6" customHeight="1">
      <c r="A51" s="113"/>
      <c r="B51" s="114"/>
      <c r="C51" s="114"/>
      <c r="D51" s="114"/>
      <c r="E51" s="114"/>
      <c r="F51" s="114"/>
      <c r="G51" s="114"/>
      <c r="H51" s="114"/>
      <c r="I51" s="115"/>
      <c r="J51" s="115"/>
      <c r="K51" s="116"/>
      <c r="L51" s="178" t="s">
        <v>26</v>
      </c>
      <c r="M51" s="178"/>
      <c r="N51" s="178"/>
      <c r="O51" s="178"/>
      <c r="P51" s="178"/>
      <c r="Q51" s="178"/>
    </row>
    <row r="52" spans="1:17" ht="36.6" customHeight="1">
      <c r="A52" s="117"/>
      <c r="B52" s="118"/>
      <c r="C52" s="118"/>
      <c r="D52" s="118"/>
      <c r="E52" s="118"/>
      <c r="F52" s="118"/>
      <c r="G52" s="118"/>
      <c r="H52" s="118"/>
      <c r="I52" s="119"/>
      <c r="J52" s="119"/>
      <c r="K52" s="120"/>
      <c r="L52" s="178" t="s">
        <v>27</v>
      </c>
      <c r="M52" s="178"/>
      <c r="N52" s="178"/>
      <c r="O52" s="178"/>
      <c r="P52" s="178"/>
      <c r="Q52" s="178"/>
    </row>
  </sheetData>
  <sheetProtection selectLockedCells="1" selectUnlockedCells="1"/>
  <mergeCells count="75">
    <mergeCell ref="A1:Q3"/>
    <mergeCell ref="A4:Q6"/>
    <mergeCell ref="A7:Q7"/>
    <mergeCell ref="A8:Q8"/>
    <mergeCell ref="A9:D9"/>
    <mergeCell ref="E9:J9"/>
    <mergeCell ref="K9:M9"/>
    <mergeCell ref="N9:Q9"/>
    <mergeCell ref="A10:D10"/>
    <mergeCell ref="E10:J10"/>
    <mergeCell ref="K10:M10"/>
    <mergeCell ref="N10:Q10"/>
    <mergeCell ref="A11:D11"/>
    <mergeCell ref="E11:J11"/>
    <mergeCell ref="K11:M11"/>
    <mergeCell ref="N11:Q11"/>
    <mergeCell ref="A13:Q13"/>
    <mergeCell ref="P14:Q14"/>
    <mergeCell ref="A15:A47"/>
    <mergeCell ref="P15:Q15"/>
    <mergeCell ref="P16:Q16"/>
    <mergeCell ref="P17:Q17"/>
    <mergeCell ref="P18:Q18"/>
    <mergeCell ref="P19:Q19"/>
    <mergeCell ref="P20:Q20"/>
    <mergeCell ref="P21:Q21"/>
    <mergeCell ref="P22:Q22"/>
    <mergeCell ref="P23:Q23"/>
    <mergeCell ref="D24:D25"/>
    <mergeCell ref="F24:F25"/>
    <mergeCell ref="H24:H25"/>
    <mergeCell ref="J24:J25"/>
    <mergeCell ref="L24:L25"/>
    <mergeCell ref="N24:N25"/>
    <mergeCell ref="P24:Q24"/>
    <mergeCell ref="P25:Q25"/>
    <mergeCell ref="P26:Q26"/>
    <mergeCell ref="P27:Q27"/>
    <mergeCell ref="P28:Q28"/>
    <mergeCell ref="P29:Q29"/>
    <mergeCell ref="P30:Q30"/>
    <mergeCell ref="P31:Q31"/>
    <mergeCell ref="P32:Q32"/>
    <mergeCell ref="P33:Q33"/>
    <mergeCell ref="P34:Q34"/>
    <mergeCell ref="P35:Q35"/>
    <mergeCell ref="P36:Q36"/>
    <mergeCell ref="P37:Q37"/>
    <mergeCell ref="L38:L39"/>
    <mergeCell ref="M38:M39"/>
    <mergeCell ref="N38:N39"/>
    <mergeCell ref="O38:O39"/>
    <mergeCell ref="I38:I39"/>
    <mergeCell ref="A49:K49"/>
    <mergeCell ref="L49:Q49"/>
    <mergeCell ref="P38:Q38"/>
    <mergeCell ref="P39:Q39"/>
    <mergeCell ref="P40:Q40"/>
    <mergeCell ref="P41:Q41"/>
    <mergeCell ref="P42:Q42"/>
    <mergeCell ref="P43:Q43"/>
    <mergeCell ref="J38:J39"/>
    <mergeCell ref="K38:K39"/>
    <mergeCell ref="D38:D39"/>
    <mergeCell ref="E38:E39"/>
    <mergeCell ref="F38:F39"/>
    <mergeCell ref="G38:G39"/>
    <mergeCell ref="H38:H39"/>
    <mergeCell ref="L50:Q50"/>
    <mergeCell ref="L51:Q51"/>
    <mergeCell ref="L52:Q52"/>
    <mergeCell ref="P44:Q44"/>
    <mergeCell ref="P45:Q45"/>
    <mergeCell ref="P46:Q46"/>
    <mergeCell ref="P47:Q47"/>
  </mergeCells>
  <dataValidations count="3">
    <dataValidation operator="equal" allowBlank="1" showErrorMessage="1" errorTitle="Seleccionar un valor de la lista" sqref="E20:E31 G20:G31 I20:I31 K20:K31 M20:N24 M25:M31 N26:N31 E41:E43 G41:G43 I41:I43 K41:K43 M41:N43 E46:E47 G46:G47 I46:I47 K46:K47 M46:N47">
      <formula1>0</formula1>
      <formula2>0</formula2>
    </dataValidation>
    <dataValidation type="list" operator="equal" allowBlank="1" showErrorMessage="1" sqref="N9">
      <formula1>"EFICACIA,EFICIENCIA,EFECTIVIDAD"</formula1>
      <formula2>0</formula2>
    </dataValidation>
    <dataValidation type="list" operator="equal" allowBlank="1" showErrorMessage="1" sqref="N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2"/>
  <sheetViews>
    <sheetView zoomScale="75" zoomScaleNormal="75" workbookViewId="0"/>
  </sheetViews>
  <sheetFormatPr baseColWidth="10" defaultRowHeight="14.65" customHeight="1"/>
  <cols>
    <col min="1" max="1" width="12.140625" customWidth="1"/>
    <col min="2" max="2" width="45.42578125" customWidth="1"/>
    <col min="3" max="3" width="12.140625" customWidth="1"/>
    <col min="4" max="4" width="25.42578125" customWidth="1"/>
    <col min="5" max="5" width="12.140625" customWidth="1"/>
    <col min="6" max="6" width="15.5703125" customWidth="1"/>
    <col min="7" max="7" width="12.140625" customWidth="1"/>
    <col min="8" max="8" width="13.85546875" customWidth="1"/>
    <col min="9" max="14" width="15" customWidth="1"/>
  </cols>
  <sheetData>
    <row r="1" spans="2:14" ht="12.75" customHeight="1"/>
    <row r="2" spans="2:14" ht="12.75" customHeight="1">
      <c r="B2" s="225" t="s">
        <v>244</v>
      </c>
      <c r="C2" s="226" t="s">
        <v>245</v>
      </c>
      <c r="D2" s="226"/>
      <c r="E2" s="226"/>
      <c r="F2" s="226"/>
      <c r="G2" s="226"/>
      <c r="H2" s="226"/>
      <c r="I2" s="226" t="s">
        <v>246</v>
      </c>
      <c r="J2" s="226"/>
      <c r="K2" s="226"/>
      <c r="L2" s="226"/>
      <c r="M2" s="226"/>
      <c r="N2" s="226"/>
    </row>
    <row r="3" spans="2:14" ht="12.75" customHeight="1">
      <c r="B3" s="225"/>
      <c r="C3" s="226" t="s">
        <v>247</v>
      </c>
      <c r="D3" s="226"/>
      <c r="E3" s="226" t="s">
        <v>248</v>
      </c>
      <c r="F3" s="226"/>
      <c r="G3" s="226" t="s">
        <v>249</v>
      </c>
      <c r="H3" s="226"/>
      <c r="I3" s="226" t="s">
        <v>247</v>
      </c>
      <c r="J3" s="226"/>
      <c r="K3" s="226" t="s">
        <v>248</v>
      </c>
      <c r="L3" s="226"/>
      <c r="M3" s="226" t="s">
        <v>249</v>
      </c>
      <c r="N3" s="226"/>
    </row>
    <row r="4" spans="2:14" ht="12.75" customHeight="1">
      <c r="B4" s="225"/>
      <c r="C4" s="122" t="s">
        <v>250</v>
      </c>
      <c r="D4" s="123" t="s">
        <v>251</v>
      </c>
      <c r="E4" s="122" t="s">
        <v>250</v>
      </c>
      <c r="F4" s="123" t="s">
        <v>251</v>
      </c>
      <c r="G4" s="122" t="s">
        <v>250</v>
      </c>
      <c r="H4" s="123" t="s">
        <v>251</v>
      </c>
      <c r="I4" s="122" t="s">
        <v>252</v>
      </c>
      <c r="J4" s="123" t="s">
        <v>251</v>
      </c>
      <c r="K4" s="122" t="s">
        <v>252</v>
      </c>
      <c r="L4" s="123" t="s">
        <v>251</v>
      </c>
      <c r="M4" s="122" t="s">
        <v>252</v>
      </c>
      <c r="N4" s="123" t="s">
        <v>251</v>
      </c>
    </row>
    <row r="5" spans="2:14" ht="15" customHeight="1">
      <c r="B5" s="124" t="s">
        <v>253</v>
      </c>
      <c r="C5" s="28">
        <v>44054</v>
      </c>
      <c r="D5" s="125">
        <v>16647235</v>
      </c>
      <c r="E5" s="28">
        <v>48744</v>
      </c>
      <c r="F5" s="125">
        <v>20466645</v>
      </c>
      <c r="G5" s="28">
        <f t="shared" ref="G5:H8" si="0">+C5+E5</f>
        <v>92798</v>
      </c>
      <c r="H5" s="125">
        <f t="shared" si="0"/>
        <v>37113880</v>
      </c>
      <c r="I5" s="126">
        <v>280</v>
      </c>
      <c r="J5" s="125">
        <v>1234310</v>
      </c>
      <c r="K5" s="28">
        <v>256</v>
      </c>
      <c r="L5" s="125">
        <v>1151890</v>
      </c>
      <c r="M5" s="28">
        <f t="shared" ref="M5:N8" si="1">+I5+K5</f>
        <v>536</v>
      </c>
      <c r="N5" s="125">
        <f t="shared" si="1"/>
        <v>2386200</v>
      </c>
    </row>
    <row r="6" spans="2:14" ht="15" customHeight="1">
      <c r="B6" s="124" t="s">
        <v>254</v>
      </c>
      <c r="C6" s="28">
        <v>31500</v>
      </c>
      <c r="D6" s="125">
        <v>14374850</v>
      </c>
      <c r="E6" s="28">
        <v>27460</v>
      </c>
      <c r="F6" s="125">
        <v>12843781</v>
      </c>
      <c r="G6" s="28">
        <f t="shared" si="0"/>
        <v>58960</v>
      </c>
      <c r="H6" s="125">
        <f t="shared" si="0"/>
        <v>27218631</v>
      </c>
      <c r="I6" s="126">
        <v>250</v>
      </c>
      <c r="J6" s="125">
        <v>1545890</v>
      </c>
      <c r="K6" s="28">
        <v>242</v>
      </c>
      <c r="L6" s="125">
        <v>1528600</v>
      </c>
      <c r="M6" s="28">
        <f t="shared" si="1"/>
        <v>492</v>
      </c>
      <c r="N6" s="125">
        <f t="shared" si="1"/>
        <v>3074490</v>
      </c>
    </row>
    <row r="7" spans="2:14" ht="15" customHeight="1">
      <c r="B7" s="124" t="s">
        <v>255</v>
      </c>
      <c r="C7" s="28">
        <v>11389</v>
      </c>
      <c r="D7" s="125">
        <v>5223374</v>
      </c>
      <c r="E7" s="28">
        <v>14046</v>
      </c>
      <c r="F7" s="125">
        <v>6793199</v>
      </c>
      <c r="G7" s="28">
        <f t="shared" si="0"/>
        <v>25435</v>
      </c>
      <c r="H7" s="125">
        <f t="shared" si="0"/>
        <v>12016573</v>
      </c>
      <c r="I7" s="126">
        <v>0</v>
      </c>
      <c r="J7" s="125">
        <v>0</v>
      </c>
      <c r="K7" s="28">
        <v>0</v>
      </c>
      <c r="L7" s="125">
        <v>0</v>
      </c>
      <c r="M7" s="28">
        <f t="shared" si="1"/>
        <v>0</v>
      </c>
      <c r="N7" s="125">
        <f t="shared" si="1"/>
        <v>0</v>
      </c>
    </row>
    <row r="8" spans="2:14" ht="15" customHeight="1">
      <c r="B8" s="124" t="s">
        <v>256</v>
      </c>
      <c r="C8" s="221">
        <v>14900</v>
      </c>
      <c r="D8" s="223">
        <v>5548151</v>
      </c>
      <c r="E8" s="221">
        <v>16900</v>
      </c>
      <c r="F8" s="223">
        <v>6620178</v>
      </c>
      <c r="G8" s="221">
        <f t="shared" si="0"/>
        <v>31800</v>
      </c>
      <c r="H8" s="222">
        <f t="shared" si="0"/>
        <v>12168329</v>
      </c>
      <c r="I8" s="221">
        <v>245</v>
      </c>
      <c r="J8" s="224">
        <v>1089100</v>
      </c>
      <c r="K8" s="221">
        <v>370</v>
      </c>
      <c r="L8" s="223">
        <v>1835570</v>
      </c>
      <c r="M8" s="221">
        <f t="shared" si="1"/>
        <v>615</v>
      </c>
      <c r="N8" s="223">
        <f t="shared" si="1"/>
        <v>2924670</v>
      </c>
    </row>
    <row r="9" spans="2:14" ht="15" customHeight="1">
      <c r="B9" s="124" t="s">
        <v>257</v>
      </c>
      <c r="C9" s="221"/>
      <c r="D9" s="223"/>
      <c r="E9" s="221"/>
      <c r="F9" s="223"/>
      <c r="G9" s="221"/>
      <c r="H9" s="222"/>
      <c r="I9" s="221"/>
      <c r="J9" s="224"/>
      <c r="K9" s="221"/>
      <c r="L9" s="223"/>
      <c r="M9" s="221"/>
      <c r="N9" s="223"/>
    </row>
    <row r="10" spans="2:14" ht="15" customHeight="1">
      <c r="B10" s="127" t="s">
        <v>258</v>
      </c>
      <c r="C10" s="28">
        <v>78561</v>
      </c>
      <c r="D10" s="125">
        <v>25821271</v>
      </c>
      <c r="E10" s="28">
        <v>84576</v>
      </c>
      <c r="F10" s="125">
        <v>30309390</v>
      </c>
      <c r="G10" s="28">
        <f t="shared" ref="G10:H13" si="2">+C10+E10</f>
        <v>163137</v>
      </c>
      <c r="H10" s="125">
        <f t="shared" si="2"/>
        <v>56130661</v>
      </c>
      <c r="I10" s="221">
        <v>1870</v>
      </c>
      <c r="J10" s="224">
        <v>7919000</v>
      </c>
      <c r="K10" s="221">
        <v>2212</v>
      </c>
      <c r="L10" s="223">
        <v>9486130</v>
      </c>
      <c r="M10" s="221">
        <f>+I10+K10</f>
        <v>4082</v>
      </c>
      <c r="N10" s="223">
        <f>+J10+L10</f>
        <v>17405130</v>
      </c>
    </row>
    <row r="11" spans="2:14" ht="15" customHeight="1">
      <c r="B11" s="124" t="s">
        <v>259</v>
      </c>
      <c r="C11" s="28">
        <v>2413</v>
      </c>
      <c r="D11" s="125">
        <v>831650</v>
      </c>
      <c r="E11" s="28">
        <v>3194</v>
      </c>
      <c r="F11" s="125">
        <v>1209660</v>
      </c>
      <c r="G11" s="28">
        <f t="shared" si="2"/>
        <v>5607</v>
      </c>
      <c r="H11" s="125">
        <f t="shared" si="2"/>
        <v>2041310</v>
      </c>
      <c r="I11" s="221"/>
      <c r="J11" s="224"/>
      <c r="K11" s="221"/>
      <c r="L11" s="223"/>
      <c r="M11" s="221"/>
      <c r="N11" s="223"/>
    </row>
    <row r="12" spans="2:14" ht="15" customHeight="1">
      <c r="B12" s="124" t="s">
        <v>260</v>
      </c>
      <c r="C12" s="28">
        <v>115527</v>
      </c>
      <c r="D12" s="125">
        <v>42496214</v>
      </c>
      <c r="E12" s="28">
        <v>114048</v>
      </c>
      <c r="F12" s="125">
        <v>46841918</v>
      </c>
      <c r="G12" s="28">
        <f t="shared" si="2"/>
        <v>229575</v>
      </c>
      <c r="H12" s="125">
        <f t="shared" si="2"/>
        <v>89338132</v>
      </c>
      <c r="I12" s="28">
        <v>991</v>
      </c>
      <c r="J12" s="125">
        <v>4191530</v>
      </c>
      <c r="K12" s="28">
        <v>1223</v>
      </c>
      <c r="L12" s="125">
        <v>5231770</v>
      </c>
      <c r="M12" s="28">
        <f>+I12+K12</f>
        <v>2214</v>
      </c>
      <c r="N12" s="125">
        <f>+J12+L12</f>
        <v>9423300</v>
      </c>
    </row>
    <row r="13" spans="2:14" ht="15" customHeight="1">
      <c r="B13" s="124" t="s">
        <v>261</v>
      </c>
      <c r="C13" s="28">
        <v>3120</v>
      </c>
      <c r="D13" s="125">
        <v>1300767</v>
      </c>
      <c r="E13" s="28">
        <v>4968</v>
      </c>
      <c r="F13" s="125">
        <v>2138913</v>
      </c>
      <c r="G13" s="28">
        <f t="shared" si="2"/>
        <v>8088</v>
      </c>
      <c r="H13" s="125">
        <f t="shared" si="2"/>
        <v>3439680</v>
      </c>
      <c r="I13" s="28">
        <v>146</v>
      </c>
      <c r="J13" s="125">
        <v>1095030</v>
      </c>
      <c r="K13" s="28">
        <v>130</v>
      </c>
      <c r="L13" s="125">
        <v>702642</v>
      </c>
      <c r="M13" s="28">
        <f>+I13+K13</f>
        <v>276</v>
      </c>
      <c r="N13" s="125">
        <f>+J13+L13</f>
        <v>1797672</v>
      </c>
    </row>
    <row r="14" spans="2:14" ht="12.75" customHeight="1">
      <c r="B14" s="128" t="s">
        <v>249</v>
      </c>
      <c r="C14" s="128">
        <f t="shared" ref="C14:N14" si="3">SUM(C5:C13)</f>
        <v>301464</v>
      </c>
      <c r="D14" s="129">
        <f t="shared" si="3"/>
        <v>112243512</v>
      </c>
      <c r="E14" s="128">
        <f t="shared" si="3"/>
        <v>313936</v>
      </c>
      <c r="F14" s="129">
        <f t="shared" si="3"/>
        <v>127223684</v>
      </c>
      <c r="G14" s="128">
        <f t="shared" si="3"/>
        <v>615400</v>
      </c>
      <c r="H14" s="129">
        <f t="shared" si="3"/>
        <v>239467196</v>
      </c>
      <c r="I14" s="128">
        <f t="shared" si="3"/>
        <v>3782</v>
      </c>
      <c r="J14" s="129">
        <f t="shared" si="3"/>
        <v>17074860</v>
      </c>
      <c r="K14" s="128">
        <f t="shared" si="3"/>
        <v>4433</v>
      </c>
      <c r="L14" s="129">
        <f t="shared" si="3"/>
        <v>19936602</v>
      </c>
      <c r="M14" s="128">
        <f t="shared" si="3"/>
        <v>8215</v>
      </c>
      <c r="N14" s="129">
        <f t="shared" si="3"/>
        <v>37011462</v>
      </c>
    </row>
    <row r="15" spans="2:14" ht="12.75" customHeight="1"/>
    <row r="16" spans="2:14" ht="12.75" customHeight="1">
      <c r="D16" s="130"/>
    </row>
    <row r="18" spans="2:4" ht="12.75" customHeight="1">
      <c r="B18" s="131" t="s">
        <v>262</v>
      </c>
      <c r="C18" s="131" t="s">
        <v>263</v>
      </c>
      <c r="D18" s="131" t="s">
        <v>264</v>
      </c>
    </row>
    <row r="19" spans="2:4" ht="12.75" customHeight="1">
      <c r="B19" s="75" t="s">
        <v>265</v>
      </c>
      <c r="C19" s="75">
        <v>733</v>
      </c>
      <c r="D19" s="132">
        <f>C23*C19</f>
        <v>6865160.7199999997</v>
      </c>
    </row>
    <row r="20" spans="2:4" ht="12.75" customHeight="1">
      <c r="B20" s="75" t="s">
        <v>266</v>
      </c>
      <c r="C20" s="75">
        <v>1019</v>
      </c>
      <c r="D20" s="132">
        <f>+C20*C23</f>
        <v>9543790.9600000009</v>
      </c>
    </row>
    <row r="21" spans="2:4" ht="12.75" customHeight="1">
      <c r="B21" s="128" t="s">
        <v>249</v>
      </c>
      <c r="C21" s="128">
        <f>+C19+C20</f>
        <v>1752</v>
      </c>
      <c r="D21" s="133">
        <f>+D19+D20</f>
        <v>16408951.68</v>
      </c>
    </row>
    <row r="22" spans="2:4" ht="12.75" customHeight="1"/>
    <row r="23" spans="2:4" ht="12.75" customHeight="1">
      <c r="B23" s="128" t="s">
        <v>267</v>
      </c>
      <c r="C23" s="75">
        <v>9365.84</v>
      </c>
    </row>
    <row r="24" spans="2:4" ht="12.75" customHeight="1"/>
    <row r="25" spans="2:4" ht="12.75" customHeight="1"/>
    <row r="26" spans="2:4" ht="12.75" customHeight="1"/>
    <row r="27" spans="2:4" ht="15" customHeight="1">
      <c r="B27" s="134" t="s">
        <v>244</v>
      </c>
      <c r="C27" s="134"/>
      <c r="D27" s="135" t="s">
        <v>268</v>
      </c>
    </row>
    <row r="28" spans="2:4" ht="14.25" customHeight="1">
      <c r="B28" s="220" t="s">
        <v>253</v>
      </c>
      <c r="C28" s="76">
        <v>1</v>
      </c>
      <c r="D28" s="136" t="s">
        <v>269</v>
      </c>
    </row>
    <row r="29" spans="2:4" ht="14.25" customHeight="1">
      <c r="B29" s="220"/>
      <c r="C29" s="76">
        <f t="shared" ref="C29:C35" si="4">+C28+1</f>
        <v>2</v>
      </c>
      <c r="D29" s="136" t="s">
        <v>270</v>
      </c>
    </row>
    <row r="30" spans="2:4" ht="14.25" customHeight="1">
      <c r="B30" s="220"/>
      <c r="C30" s="76">
        <f t="shared" si="4"/>
        <v>3</v>
      </c>
      <c r="D30" s="136" t="s">
        <v>271</v>
      </c>
    </row>
    <row r="31" spans="2:4" ht="14.25" customHeight="1">
      <c r="B31" s="220"/>
      <c r="C31" s="76">
        <f t="shared" si="4"/>
        <v>4</v>
      </c>
      <c r="D31" s="136" t="s">
        <v>272</v>
      </c>
    </row>
    <row r="32" spans="2:4" ht="14.25" customHeight="1">
      <c r="B32" s="220"/>
      <c r="C32" s="76">
        <f t="shared" si="4"/>
        <v>5</v>
      </c>
      <c r="D32" s="136" t="s">
        <v>273</v>
      </c>
    </row>
    <row r="33" spans="2:4" ht="14.25" customHeight="1">
      <c r="B33" s="220"/>
      <c r="C33" s="76">
        <f t="shared" si="4"/>
        <v>6</v>
      </c>
      <c r="D33" s="136" t="s">
        <v>274</v>
      </c>
    </row>
    <row r="34" spans="2:4" ht="28.5" customHeight="1">
      <c r="B34" s="220"/>
      <c r="C34" s="76">
        <f t="shared" si="4"/>
        <v>7</v>
      </c>
      <c r="D34" s="136" t="s">
        <v>275</v>
      </c>
    </row>
    <row r="35" spans="2:4" ht="14.25" customHeight="1">
      <c r="B35" s="220"/>
      <c r="C35" s="76">
        <f t="shared" si="4"/>
        <v>8</v>
      </c>
      <c r="D35" s="136" t="s">
        <v>276</v>
      </c>
    </row>
    <row r="36" spans="2:4" ht="14.25" customHeight="1">
      <c r="B36" s="220" t="s">
        <v>277</v>
      </c>
      <c r="C36" s="76">
        <v>1</v>
      </c>
      <c r="D36" s="136" t="s">
        <v>278</v>
      </c>
    </row>
    <row r="37" spans="2:4" ht="14.25" customHeight="1">
      <c r="B37" s="220"/>
      <c r="C37" s="76">
        <f t="shared" ref="C37:C44" si="5">+C36+1</f>
        <v>2</v>
      </c>
      <c r="D37" s="136" t="s">
        <v>279</v>
      </c>
    </row>
    <row r="38" spans="2:4" ht="14.25" customHeight="1">
      <c r="B38" s="220"/>
      <c r="C38" s="76">
        <f t="shared" si="5"/>
        <v>3</v>
      </c>
      <c r="D38" s="136" t="s">
        <v>280</v>
      </c>
    </row>
    <row r="39" spans="2:4" ht="14.25" customHeight="1">
      <c r="B39" s="220"/>
      <c r="C39" s="76">
        <f t="shared" si="5"/>
        <v>4</v>
      </c>
      <c r="D39" s="136" t="s">
        <v>281</v>
      </c>
    </row>
    <row r="40" spans="2:4" ht="14.25" customHeight="1">
      <c r="B40" s="220"/>
      <c r="C40" s="76">
        <f t="shared" si="5"/>
        <v>5</v>
      </c>
      <c r="D40" s="136" t="s">
        <v>282</v>
      </c>
    </row>
    <row r="41" spans="2:4" ht="14.25" customHeight="1">
      <c r="B41" s="220"/>
      <c r="C41" s="76">
        <f t="shared" si="5"/>
        <v>6</v>
      </c>
      <c r="D41" s="136" t="s">
        <v>283</v>
      </c>
    </row>
    <row r="42" spans="2:4" ht="14.25" customHeight="1">
      <c r="B42" s="220"/>
      <c r="C42" s="76">
        <f t="shared" si="5"/>
        <v>7</v>
      </c>
      <c r="D42" s="136" t="s">
        <v>284</v>
      </c>
    </row>
    <row r="43" spans="2:4" ht="28.5" customHeight="1">
      <c r="B43" s="220"/>
      <c r="C43" s="76">
        <f t="shared" si="5"/>
        <v>8</v>
      </c>
      <c r="D43" s="136" t="s">
        <v>285</v>
      </c>
    </row>
    <row r="44" spans="2:4" ht="14.25" customHeight="1">
      <c r="B44" s="220"/>
      <c r="C44" s="76">
        <f t="shared" si="5"/>
        <v>9</v>
      </c>
      <c r="D44" s="136" t="s">
        <v>286</v>
      </c>
    </row>
    <row r="45" spans="2:4" ht="28.5" customHeight="1">
      <c r="B45" s="220" t="s">
        <v>287</v>
      </c>
      <c r="C45" s="76">
        <v>1</v>
      </c>
      <c r="D45" s="136" t="s">
        <v>288</v>
      </c>
    </row>
    <row r="46" spans="2:4" ht="14.25" customHeight="1">
      <c r="B46" s="220"/>
      <c r="C46" s="76">
        <f t="shared" ref="C46:C51" si="6">+C45+1</f>
        <v>2</v>
      </c>
      <c r="D46" s="136" t="s">
        <v>289</v>
      </c>
    </row>
    <row r="47" spans="2:4" ht="14.25" customHeight="1">
      <c r="B47" s="220"/>
      <c r="C47" s="76">
        <f t="shared" si="6"/>
        <v>3</v>
      </c>
      <c r="D47" s="136" t="s">
        <v>290</v>
      </c>
    </row>
    <row r="48" spans="2:4" ht="14.25" customHeight="1">
      <c r="B48" s="220"/>
      <c r="C48" s="76">
        <f t="shared" si="6"/>
        <v>4</v>
      </c>
      <c r="D48" s="136" t="s">
        <v>291</v>
      </c>
    </row>
    <row r="49" spans="2:5" ht="14.25" customHeight="1">
      <c r="B49" s="220"/>
      <c r="C49" s="76">
        <f t="shared" si="6"/>
        <v>5</v>
      </c>
      <c r="D49" s="136" t="s">
        <v>292</v>
      </c>
    </row>
    <row r="50" spans="2:5" ht="14.25" customHeight="1">
      <c r="B50" s="220"/>
      <c r="C50" s="76">
        <f t="shared" si="6"/>
        <v>6</v>
      </c>
      <c r="D50" s="136" t="s">
        <v>293</v>
      </c>
    </row>
    <row r="51" spans="2:5" ht="14.25" customHeight="1">
      <c r="B51" s="220"/>
      <c r="C51" s="76">
        <f t="shared" si="6"/>
        <v>7</v>
      </c>
      <c r="D51" s="136" t="s">
        <v>294</v>
      </c>
    </row>
    <row r="52" spans="2:5" ht="14.25" customHeight="1">
      <c r="B52" s="137" t="s">
        <v>295</v>
      </c>
      <c r="C52" s="76">
        <v>1</v>
      </c>
      <c r="D52" s="136" t="s">
        <v>296</v>
      </c>
    </row>
    <row r="53" spans="2:5" ht="15" customHeight="1">
      <c r="B53" s="137" t="s">
        <v>260</v>
      </c>
      <c r="C53" s="76">
        <v>1</v>
      </c>
      <c r="D53" s="136" t="s">
        <v>297</v>
      </c>
      <c r="E53" s="138"/>
    </row>
    <row r="54" spans="2:5" ht="14.25" customHeight="1">
      <c r="B54" s="137" t="s">
        <v>298</v>
      </c>
      <c r="C54" s="76">
        <v>1</v>
      </c>
      <c r="D54" s="136" t="s">
        <v>298</v>
      </c>
    </row>
    <row r="55" spans="2:5" ht="14.25" customHeight="1">
      <c r="B55" s="137" t="s">
        <v>299</v>
      </c>
      <c r="C55" s="76">
        <v>1</v>
      </c>
      <c r="D55" s="136" t="s">
        <v>300</v>
      </c>
    </row>
    <row r="56" spans="2:5" ht="14.25" customHeight="1">
      <c r="B56" s="220" t="s">
        <v>301</v>
      </c>
      <c r="C56" s="76">
        <v>1</v>
      </c>
      <c r="D56" s="136" t="s">
        <v>302</v>
      </c>
    </row>
    <row r="57" spans="2:5" ht="14.25" customHeight="1">
      <c r="B57" s="220"/>
      <c r="C57" s="76">
        <v>2</v>
      </c>
      <c r="D57" s="136" t="s">
        <v>303</v>
      </c>
    </row>
    <row r="58" spans="2:5" ht="14.25" customHeight="1">
      <c r="B58" s="137" t="s">
        <v>257</v>
      </c>
      <c r="C58" s="76">
        <v>1</v>
      </c>
      <c r="D58" s="136" t="s">
        <v>257</v>
      </c>
    </row>
    <row r="59" spans="2:5" ht="14.25" customHeight="1">
      <c r="B59" s="137" t="s">
        <v>304</v>
      </c>
      <c r="C59" s="76">
        <v>1</v>
      </c>
      <c r="D59" s="136" t="s">
        <v>305</v>
      </c>
    </row>
    <row r="60" spans="2:5" ht="14.25" customHeight="1">
      <c r="B60" s="137" t="s">
        <v>259</v>
      </c>
      <c r="C60" s="76">
        <v>1</v>
      </c>
      <c r="D60" s="136" t="s">
        <v>306</v>
      </c>
    </row>
    <row r="62" spans="2:5" ht="12.75" customHeight="1">
      <c r="B62" s="139" t="s">
        <v>307</v>
      </c>
      <c r="C62" s="139">
        <f>+COUNT(C28:C60)</f>
        <v>33</v>
      </c>
    </row>
  </sheetData>
  <sheetProtection selectLockedCells="1" selectUnlockedCells="1"/>
  <mergeCells count="31">
    <mergeCell ref="B2:B4"/>
    <mergeCell ref="C2:H2"/>
    <mergeCell ref="I2:N2"/>
    <mergeCell ref="C3:D3"/>
    <mergeCell ref="E3:F3"/>
    <mergeCell ref="G3:H3"/>
    <mergeCell ref="I3:J3"/>
    <mergeCell ref="K3:L3"/>
    <mergeCell ref="M3:N3"/>
    <mergeCell ref="C8:C9"/>
    <mergeCell ref="D8:D9"/>
    <mergeCell ref="E8:E9"/>
    <mergeCell ref="F8:F9"/>
    <mergeCell ref="G8:G9"/>
    <mergeCell ref="H8:H9"/>
    <mergeCell ref="K10:K11"/>
    <mergeCell ref="L10:L11"/>
    <mergeCell ref="M10:M11"/>
    <mergeCell ref="N10:N11"/>
    <mergeCell ref="I8:I9"/>
    <mergeCell ref="J8:J9"/>
    <mergeCell ref="K8:K9"/>
    <mergeCell ref="L8:L9"/>
    <mergeCell ref="M8:M9"/>
    <mergeCell ref="N8:N9"/>
    <mergeCell ref="J10:J11"/>
    <mergeCell ref="B28:B35"/>
    <mergeCell ref="B36:B44"/>
    <mergeCell ref="B45:B51"/>
    <mergeCell ref="B56:B57"/>
    <mergeCell ref="I10:I11"/>
  </mergeCell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3"/>
  <sheetViews>
    <sheetView topLeftCell="A8" zoomScale="75" zoomScaleNormal="75" workbookViewId="0">
      <selection activeCell="M8" sqref="M8"/>
    </sheetView>
  </sheetViews>
  <sheetFormatPr baseColWidth="10" defaultRowHeight="15.75" customHeight="1"/>
  <cols>
    <col min="1" max="1" width="16.140625" customWidth="1"/>
    <col min="2" max="2" width="16.140625" style="140" customWidth="1"/>
    <col min="3" max="3" width="21.5703125" style="140" customWidth="1"/>
    <col min="4" max="4" width="43.140625" customWidth="1"/>
    <col min="5" max="5" width="13.42578125" customWidth="1"/>
    <col min="6" max="6" width="22.28515625" customWidth="1"/>
    <col min="7" max="7" width="35.85546875" style="141" customWidth="1"/>
    <col min="8" max="8" width="15.28515625" customWidth="1"/>
    <col min="9" max="9" width="14.7109375" customWidth="1"/>
    <col min="10" max="15" width="11.5703125" customWidth="1"/>
    <col min="16" max="22" width="13.42578125" customWidth="1"/>
  </cols>
  <sheetData>
    <row r="2" spans="1:23" ht="40.5" customHeight="1">
      <c r="A2" s="202"/>
      <c r="B2" s="228" t="s">
        <v>308</v>
      </c>
      <c r="C2" s="228"/>
      <c r="D2" s="228"/>
      <c r="E2" s="228"/>
      <c r="F2" s="228"/>
      <c r="G2" s="228"/>
      <c r="H2" s="228"/>
      <c r="I2" s="228"/>
      <c r="J2" s="228"/>
      <c r="K2" s="228"/>
      <c r="L2" s="228"/>
      <c r="M2" s="228"/>
      <c r="N2" s="228"/>
      <c r="O2" s="228"/>
      <c r="P2" s="228"/>
      <c r="Q2" s="228"/>
      <c r="R2" s="228"/>
      <c r="S2" s="228"/>
      <c r="T2" s="228"/>
      <c r="U2" s="228"/>
      <c r="V2" s="228"/>
    </row>
    <row r="3" spans="1:23" ht="21.75" customHeight="1">
      <c r="A3" s="202"/>
      <c r="B3" s="228"/>
      <c r="C3" s="228"/>
      <c r="D3" s="228"/>
      <c r="E3" s="228"/>
      <c r="F3" s="228"/>
      <c r="G3" s="228"/>
      <c r="H3" s="228"/>
      <c r="I3" s="228"/>
      <c r="J3" s="228"/>
      <c r="K3" s="228"/>
      <c r="L3" s="228"/>
      <c r="M3" s="228"/>
      <c r="N3" s="228"/>
      <c r="O3" s="228"/>
      <c r="P3" s="228"/>
      <c r="Q3" s="228"/>
      <c r="R3" s="228"/>
      <c r="S3" s="228"/>
      <c r="T3" s="228"/>
      <c r="U3" s="228"/>
      <c r="V3" s="228"/>
    </row>
    <row r="4" spans="1:23" ht="21.75" customHeight="1">
      <c r="A4" s="202"/>
      <c r="B4" s="229" t="s">
        <v>309</v>
      </c>
      <c r="C4" s="229"/>
      <c r="D4" s="229"/>
      <c r="E4" s="229"/>
      <c r="F4" s="229"/>
      <c r="G4" s="229"/>
      <c r="H4" s="229"/>
      <c r="I4" s="229"/>
      <c r="J4" s="229"/>
      <c r="K4" s="229"/>
      <c r="L4" s="229"/>
      <c r="M4" s="229"/>
      <c r="N4" s="229"/>
      <c r="O4" s="229"/>
      <c r="P4" s="229"/>
      <c r="Q4" s="229"/>
      <c r="R4" s="229"/>
      <c r="S4" s="229"/>
      <c r="T4" s="229"/>
      <c r="U4" s="229"/>
      <c r="V4" s="229"/>
    </row>
    <row r="5" spans="1:23" ht="31.5" customHeight="1">
      <c r="A5" s="202"/>
      <c r="B5" s="229"/>
      <c r="C5" s="229"/>
      <c r="D5" s="229"/>
      <c r="E5" s="229"/>
      <c r="F5" s="229"/>
      <c r="G5" s="229"/>
      <c r="H5" s="229"/>
      <c r="I5" s="229"/>
      <c r="J5" s="229"/>
      <c r="K5" s="229"/>
      <c r="L5" s="229"/>
      <c r="M5" s="229"/>
      <c r="N5" s="229"/>
      <c r="O5" s="229"/>
      <c r="P5" s="229"/>
      <c r="Q5" s="229"/>
      <c r="R5" s="229"/>
      <c r="S5" s="229"/>
      <c r="T5" s="229"/>
      <c r="U5" s="229"/>
      <c r="V5" s="229"/>
    </row>
    <row r="8" spans="1:23" ht="71.099999999999994" customHeight="1">
      <c r="A8" s="142" t="s">
        <v>310</v>
      </c>
      <c r="B8" s="142" t="s">
        <v>311</v>
      </c>
      <c r="C8" s="142" t="s">
        <v>312</v>
      </c>
      <c r="D8" s="142" t="s">
        <v>313</v>
      </c>
      <c r="E8" s="142" t="s">
        <v>314</v>
      </c>
      <c r="F8" s="142" t="s">
        <v>315</v>
      </c>
      <c r="G8" s="142" t="s">
        <v>316</v>
      </c>
      <c r="H8" s="142" t="s">
        <v>317</v>
      </c>
      <c r="I8" s="142" t="s">
        <v>318</v>
      </c>
      <c r="J8" s="142" t="s">
        <v>320</v>
      </c>
      <c r="K8" s="142" t="s">
        <v>449</v>
      </c>
      <c r="L8" s="142" t="s">
        <v>446</v>
      </c>
      <c r="M8" s="142" t="s">
        <v>450</v>
      </c>
      <c r="N8" s="142" t="s">
        <v>447</v>
      </c>
      <c r="O8" s="142" t="s">
        <v>448</v>
      </c>
      <c r="P8" s="142" t="s">
        <v>451</v>
      </c>
      <c r="Q8" s="142" t="s">
        <v>321</v>
      </c>
      <c r="R8" s="142" t="s">
        <v>452</v>
      </c>
      <c r="S8" s="142" t="s">
        <v>319</v>
      </c>
      <c r="T8" s="142" t="s">
        <v>320</v>
      </c>
      <c r="U8" s="142" t="s">
        <v>453</v>
      </c>
      <c r="V8" s="142" t="s">
        <v>454</v>
      </c>
    </row>
    <row r="9" spans="1:23" ht="89.25" customHeight="1">
      <c r="A9" s="184" t="s">
        <v>322</v>
      </c>
      <c r="B9" s="184" t="s">
        <v>323</v>
      </c>
      <c r="C9" s="184" t="s">
        <v>324</v>
      </c>
      <c r="D9" s="143" t="s">
        <v>201</v>
      </c>
      <c r="E9" s="37">
        <v>92000</v>
      </c>
      <c r="F9" s="184" t="s">
        <v>325</v>
      </c>
      <c r="G9" s="144" t="s">
        <v>326</v>
      </c>
      <c r="H9" s="2" t="s">
        <v>186</v>
      </c>
      <c r="I9" s="2" t="s">
        <v>327</v>
      </c>
      <c r="J9" s="37">
        <v>0</v>
      </c>
      <c r="K9" s="37"/>
      <c r="L9" s="37">
        <v>31330</v>
      </c>
      <c r="M9" s="37"/>
      <c r="N9" s="37">
        <v>46575</v>
      </c>
      <c r="O9" s="37">
        <v>65000</v>
      </c>
      <c r="P9" s="37">
        <v>80027</v>
      </c>
      <c r="Q9" s="37">
        <v>80027</v>
      </c>
      <c r="R9" s="145">
        <f t="shared" ref="R9:R17" si="0">Q9/E9</f>
        <v>0.86985869565217389</v>
      </c>
      <c r="S9" s="37">
        <v>92000</v>
      </c>
      <c r="T9" s="37">
        <v>42885</v>
      </c>
      <c r="U9" s="37">
        <f>+T9</f>
        <v>42885</v>
      </c>
      <c r="V9" s="40">
        <f t="shared" ref="V9:V17" si="1">+U9/E9</f>
        <v>0.46614130434782608</v>
      </c>
    </row>
    <row r="10" spans="1:23" ht="112.5" customHeight="1">
      <c r="A10" s="184"/>
      <c r="B10" s="184"/>
      <c r="C10" s="184"/>
      <c r="D10" s="143" t="s">
        <v>203</v>
      </c>
      <c r="E10" s="39">
        <v>80</v>
      </c>
      <c r="F10" s="184"/>
      <c r="G10" s="144" t="s">
        <v>328</v>
      </c>
      <c r="H10" s="2" t="s">
        <v>187</v>
      </c>
      <c r="I10" s="2" t="s">
        <v>327</v>
      </c>
      <c r="J10" s="37">
        <v>0</v>
      </c>
      <c r="K10" s="37"/>
      <c r="L10" s="37">
        <v>11</v>
      </c>
      <c r="M10" s="37"/>
      <c r="N10" s="37">
        <v>4</v>
      </c>
      <c r="O10" s="39">
        <v>65</v>
      </c>
      <c r="P10" s="39">
        <v>70</v>
      </c>
      <c r="Q10" s="39">
        <f>+P10+N10+L10</f>
        <v>85</v>
      </c>
      <c r="R10" s="145">
        <f t="shared" si="0"/>
        <v>1.0625</v>
      </c>
      <c r="S10" s="37">
        <v>0</v>
      </c>
      <c r="T10" s="37">
        <v>0</v>
      </c>
      <c r="U10" s="39">
        <f>+Q10+T10</f>
        <v>85</v>
      </c>
      <c r="V10" s="40">
        <f t="shared" si="1"/>
        <v>1.0625</v>
      </c>
    </row>
    <row r="11" spans="1:23" ht="66.599999999999994" customHeight="1">
      <c r="A11" s="184"/>
      <c r="B11" s="184" t="s">
        <v>329</v>
      </c>
      <c r="C11" s="184" t="s">
        <v>330</v>
      </c>
      <c r="D11" s="143" t="s">
        <v>205</v>
      </c>
      <c r="E11" s="37">
        <v>65216</v>
      </c>
      <c r="F11" s="184" t="s">
        <v>331</v>
      </c>
      <c r="G11" s="144" t="s">
        <v>332</v>
      </c>
      <c r="H11" s="2" t="s">
        <v>186</v>
      </c>
      <c r="I11" s="2" t="s">
        <v>327</v>
      </c>
      <c r="J11" s="37">
        <v>0</v>
      </c>
      <c r="K11" s="37"/>
      <c r="L11" s="37">
        <v>14235</v>
      </c>
      <c r="M11" s="37"/>
      <c r="N11" s="37">
        <v>36208</v>
      </c>
      <c r="O11" s="37">
        <v>65216</v>
      </c>
      <c r="P11" s="37">
        <v>58960</v>
      </c>
      <c r="Q11" s="37">
        <v>58960</v>
      </c>
      <c r="R11" s="145">
        <f t="shared" si="0"/>
        <v>0.90407262021589796</v>
      </c>
      <c r="S11" s="37">
        <v>65216</v>
      </c>
      <c r="T11" s="37">
        <v>48935</v>
      </c>
      <c r="U11" s="37">
        <f>+T11</f>
        <v>48935</v>
      </c>
      <c r="V11" s="40">
        <f t="shared" si="1"/>
        <v>0.75035267419038276</v>
      </c>
    </row>
    <row r="12" spans="1:23" ht="38.25" customHeight="1">
      <c r="A12" s="184"/>
      <c r="B12" s="184"/>
      <c r="C12" s="184"/>
      <c r="D12" s="143" t="s">
        <v>206</v>
      </c>
      <c r="E12" s="39">
        <v>150</v>
      </c>
      <c r="F12" s="184"/>
      <c r="G12" s="2" t="s">
        <v>333</v>
      </c>
      <c r="H12" s="2" t="s">
        <v>187</v>
      </c>
      <c r="I12" s="2" t="s">
        <v>327</v>
      </c>
      <c r="J12" s="37">
        <v>0</v>
      </c>
      <c r="K12" s="37"/>
      <c r="L12" s="37">
        <v>41</v>
      </c>
      <c r="M12" s="37"/>
      <c r="N12" s="37">
        <v>41</v>
      </c>
      <c r="O12" s="39">
        <v>41</v>
      </c>
      <c r="P12" s="39">
        <v>42</v>
      </c>
      <c r="Q12" s="37">
        <v>124</v>
      </c>
      <c r="R12" s="145">
        <f t="shared" si="0"/>
        <v>0.82666666666666666</v>
      </c>
      <c r="S12" s="37">
        <v>26</v>
      </c>
      <c r="T12" s="37">
        <v>36</v>
      </c>
      <c r="U12" s="39">
        <f>+Q12+T12</f>
        <v>160</v>
      </c>
      <c r="V12" s="40">
        <f t="shared" si="1"/>
        <v>1.0666666666666667</v>
      </c>
    </row>
    <row r="13" spans="1:23" ht="86.1" customHeight="1">
      <c r="A13" s="184"/>
      <c r="B13" s="184" t="s">
        <v>334</v>
      </c>
      <c r="C13" s="2" t="s">
        <v>335</v>
      </c>
      <c r="D13" s="143" t="s">
        <v>207</v>
      </c>
      <c r="E13" s="39">
        <v>6</v>
      </c>
      <c r="F13" s="184" t="s">
        <v>336</v>
      </c>
      <c r="G13" s="2" t="s">
        <v>337</v>
      </c>
      <c r="H13" s="2" t="s">
        <v>186</v>
      </c>
      <c r="I13" s="2" t="s">
        <v>327</v>
      </c>
      <c r="J13" s="37">
        <v>0</v>
      </c>
      <c r="K13" s="37"/>
      <c r="L13" s="37">
        <v>2</v>
      </c>
      <c r="M13" s="37"/>
      <c r="N13" s="37">
        <v>3</v>
      </c>
      <c r="O13" s="39">
        <v>6</v>
      </c>
      <c r="P13" s="39">
        <v>5</v>
      </c>
      <c r="Q13" s="37">
        <v>5</v>
      </c>
      <c r="R13" s="145">
        <f t="shared" si="0"/>
        <v>0.83333333333333337</v>
      </c>
      <c r="S13" s="37">
        <v>6</v>
      </c>
      <c r="T13" s="37">
        <v>2</v>
      </c>
      <c r="U13" s="37">
        <f>+T13</f>
        <v>2</v>
      </c>
      <c r="V13" s="40">
        <f t="shared" si="1"/>
        <v>0.33333333333333331</v>
      </c>
    </row>
    <row r="14" spans="1:23" ht="76.5" customHeight="1">
      <c r="A14" s="184"/>
      <c r="B14" s="184"/>
      <c r="C14" s="184" t="s">
        <v>338</v>
      </c>
      <c r="D14" s="143" t="s">
        <v>208</v>
      </c>
      <c r="E14" s="39">
        <v>100</v>
      </c>
      <c r="F14" s="184"/>
      <c r="G14" s="2" t="s">
        <v>339</v>
      </c>
      <c r="H14" s="2" t="s">
        <v>187</v>
      </c>
      <c r="I14" s="2" t="s">
        <v>327</v>
      </c>
      <c r="J14" s="37">
        <v>0</v>
      </c>
      <c r="K14" s="37"/>
      <c r="L14" s="37">
        <v>25</v>
      </c>
      <c r="M14" s="37"/>
      <c r="N14" s="37">
        <v>25</v>
      </c>
      <c r="O14" s="39">
        <v>45</v>
      </c>
      <c r="P14" s="39">
        <v>56</v>
      </c>
      <c r="Q14" s="37">
        <v>106</v>
      </c>
      <c r="R14" s="145">
        <f t="shared" si="0"/>
        <v>1.06</v>
      </c>
      <c r="S14" s="37">
        <v>5</v>
      </c>
      <c r="T14" s="37">
        <v>5</v>
      </c>
      <c r="U14" s="39">
        <f>+T14+Q14</f>
        <v>111</v>
      </c>
      <c r="V14" s="40">
        <f t="shared" si="1"/>
        <v>1.1100000000000001</v>
      </c>
    </row>
    <row r="15" spans="1:23" ht="57.4" customHeight="1">
      <c r="A15" s="184"/>
      <c r="B15" s="184"/>
      <c r="C15" s="184"/>
      <c r="D15" s="143" t="s">
        <v>209</v>
      </c>
      <c r="E15" s="39">
        <v>5</v>
      </c>
      <c r="F15" s="184"/>
      <c r="G15" s="2" t="s">
        <v>340</v>
      </c>
      <c r="H15" s="2" t="s">
        <v>187</v>
      </c>
      <c r="I15" s="2" t="s">
        <v>327</v>
      </c>
      <c r="J15" s="37">
        <v>0</v>
      </c>
      <c r="K15" s="37"/>
      <c r="L15" s="37">
        <v>1</v>
      </c>
      <c r="M15" s="37"/>
      <c r="N15" s="37">
        <v>1</v>
      </c>
      <c r="O15" s="39">
        <v>2</v>
      </c>
      <c r="P15" s="39">
        <v>2</v>
      </c>
      <c r="Q15" s="37">
        <v>4</v>
      </c>
      <c r="R15" s="145">
        <f t="shared" si="0"/>
        <v>0.8</v>
      </c>
      <c r="S15" s="37">
        <v>1</v>
      </c>
      <c r="T15" s="37">
        <v>0</v>
      </c>
      <c r="U15" s="39">
        <f>+Q15+T15</f>
        <v>4</v>
      </c>
      <c r="V15" s="40">
        <f t="shared" si="1"/>
        <v>0.8</v>
      </c>
    </row>
    <row r="16" spans="1:23" ht="87.2" customHeight="1">
      <c r="A16" s="184"/>
      <c r="B16" s="184" t="s">
        <v>341</v>
      </c>
      <c r="C16" s="184" t="s">
        <v>342</v>
      </c>
      <c r="D16" s="143" t="s">
        <v>211</v>
      </c>
      <c r="E16" s="50">
        <v>0.499</v>
      </c>
      <c r="F16" s="2" t="s">
        <v>343</v>
      </c>
      <c r="G16" s="146" t="s">
        <v>344</v>
      </c>
      <c r="H16" s="2" t="s">
        <v>186</v>
      </c>
      <c r="I16" s="2" t="s">
        <v>327</v>
      </c>
      <c r="J16" s="147">
        <v>0.1</v>
      </c>
      <c r="K16" s="147"/>
      <c r="L16" s="37">
        <v>0.16259999999999999</v>
      </c>
      <c r="M16" s="37"/>
      <c r="N16" s="145">
        <v>0.28470000000000001</v>
      </c>
      <c r="O16" s="43">
        <v>0.4</v>
      </c>
      <c r="P16" s="145">
        <v>0.375</v>
      </c>
      <c r="Q16" s="145">
        <v>0.375</v>
      </c>
      <c r="R16" s="145">
        <f t="shared" si="0"/>
        <v>0.75150300601202402</v>
      </c>
      <c r="S16" s="40">
        <v>0.499</v>
      </c>
      <c r="T16" s="40">
        <v>0.41560000000000002</v>
      </c>
      <c r="U16" s="40">
        <f>+T16</f>
        <v>0.41560000000000002</v>
      </c>
      <c r="V16" s="40">
        <f t="shared" si="1"/>
        <v>0.83286573146292586</v>
      </c>
      <c r="W16" s="148"/>
    </row>
    <row r="17" spans="1:22" ht="76.5" customHeight="1">
      <c r="A17" s="184"/>
      <c r="B17" s="184"/>
      <c r="C17" s="184"/>
      <c r="D17" s="143" t="s">
        <v>210</v>
      </c>
      <c r="E17" s="43">
        <v>1</v>
      </c>
      <c r="F17" s="2" t="s">
        <v>345</v>
      </c>
      <c r="G17" s="149" t="s">
        <v>346</v>
      </c>
      <c r="H17" s="2" t="s">
        <v>186</v>
      </c>
      <c r="I17" s="2" t="s">
        <v>327</v>
      </c>
      <c r="J17" s="37">
        <v>0</v>
      </c>
      <c r="K17" s="37"/>
      <c r="L17" s="37">
        <v>0</v>
      </c>
      <c r="M17" s="37"/>
      <c r="N17" s="145">
        <v>0.2</v>
      </c>
      <c r="O17" s="43">
        <v>0.5</v>
      </c>
      <c r="P17" s="40">
        <v>0.30000000000000004</v>
      </c>
      <c r="Q17" s="40">
        <v>0.30000000000000004</v>
      </c>
      <c r="R17" s="145">
        <f t="shared" si="0"/>
        <v>0.30000000000000004</v>
      </c>
      <c r="S17" s="40">
        <v>1</v>
      </c>
      <c r="T17" s="40">
        <v>0.34</v>
      </c>
      <c r="U17" s="40">
        <f>+T17/E17</f>
        <v>0.34</v>
      </c>
      <c r="V17" s="40">
        <f t="shared" si="1"/>
        <v>0.34</v>
      </c>
    </row>
    <row r="18" spans="1:22" ht="52.9" customHeight="1">
      <c r="A18" s="184"/>
      <c r="B18" s="184"/>
      <c r="C18" s="184"/>
      <c r="D18" s="184" t="s">
        <v>212</v>
      </c>
      <c r="E18" s="227">
        <v>1890000</v>
      </c>
      <c r="F18" s="184" t="s">
        <v>343</v>
      </c>
      <c r="G18" s="144" t="s">
        <v>347</v>
      </c>
      <c r="H18" s="184" t="s">
        <v>188</v>
      </c>
      <c r="I18" s="184" t="s">
        <v>327</v>
      </c>
      <c r="J18" s="37">
        <v>0</v>
      </c>
      <c r="K18" s="37"/>
      <c r="L18" s="37">
        <v>356561</v>
      </c>
      <c r="M18" s="37"/>
      <c r="N18" s="37">
        <v>453413</v>
      </c>
      <c r="O18" s="37">
        <v>300000</v>
      </c>
      <c r="P18" s="39">
        <v>417751</v>
      </c>
      <c r="Q18" s="37">
        <f>+P18+N18+L18+J18</f>
        <v>1227725</v>
      </c>
      <c r="R18" s="40">
        <f>+Q18/(O18*3)</f>
        <v>1.3641388888888888</v>
      </c>
      <c r="S18" s="37">
        <v>300000</v>
      </c>
      <c r="T18" s="37">
        <v>143520</v>
      </c>
      <c r="U18" s="39">
        <f>+Q18+T18</f>
        <v>1371245</v>
      </c>
      <c r="V18" s="40">
        <v>1.30594761904762</v>
      </c>
    </row>
    <row r="19" spans="1:22" ht="38.85" customHeight="1">
      <c r="A19" s="184"/>
      <c r="B19" s="184"/>
      <c r="C19" s="184"/>
      <c r="D19" s="184"/>
      <c r="E19" s="227"/>
      <c r="F19" s="184"/>
      <c r="G19" s="144" t="s">
        <v>348</v>
      </c>
      <c r="H19" s="184"/>
      <c r="I19" s="184"/>
      <c r="J19" s="37">
        <v>277543</v>
      </c>
      <c r="K19" s="37"/>
      <c r="L19" s="37">
        <v>489625</v>
      </c>
      <c r="M19" s="37"/>
      <c r="N19" s="37">
        <v>437144</v>
      </c>
      <c r="O19" s="37">
        <v>280000</v>
      </c>
      <c r="P19" s="39">
        <v>490223</v>
      </c>
      <c r="Q19" s="37">
        <f>+P19+N19+L19+J19</f>
        <v>1694535</v>
      </c>
      <c r="R19" s="40">
        <f>+Q19/(O19*4)</f>
        <v>1.5129776785714286</v>
      </c>
      <c r="S19" s="37">
        <v>280000</v>
      </c>
      <c r="T19" s="37">
        <v>129085</v>
      </c>
      <c r="U19" s="39">
        <f>+Q19+T19</f>
        <v>1823620</v>
      </c>
      <c r="V19" s="40">
        <v>1.62823214285714</v>
      </c>
    </row>
    <row r="20" spans="1:22" ht="55.15" customHeight="1">
      <c r="A20" s="184"/>
      <c r="B20" s="184"/>
      <c r="C20" s="184"/>
      <c r="D20" s="184"/>
      <c r="E20" s="227"/>
      <c r="F20" s="184" t="s">
        <v>349</v>
      </c>
      <c r="G20" s="144" t="s">
        <v>350</v>
      </c>
      <c r="H20" s="184"/>
      <c r="I20" s="184"/>
      <c r="J20" s="37">
        <v>1051971</v>
      </c>
      <c r="K20" s="37"/>
      <c r="L20" s="37">
        <v>1048011</v>
      </c>
      <c r="M20" s="37"/>
      <c r="N20" s="37">
        <v>1680645</v>
      </c>
      <c r="O20" s="37">
        <v>1140000</v>
      </c>
      <c r="P20" s="39">
        <v>1738401</v>
      </c>
      <c r="Q20" s="37">
        <f>+P20+N20+L20+J20</f>
        <v>5519028</v>
      </c>
      <c r="R20" s="40">
        <f>+Q20/(O20*4)</f>
        <v>1.2103131578947368</v>
      </c>
      <c r="S20" s="37">
        <v>1140000</v>
      </c>
      <c r="T20" s="37">
        <v>277787</v>
      </c>
      <c r="U20" s="39">
        <f>+Q20+T20</f>
        <v>5796815</v>
      </c>
      <c r="V20" s="40">
        <v>1.27123135964912</v>
      </c>
    </row>
    <row r="21" spans="1:22" ht="12.75" customHeight="1">
      <c r="A21" s="184"/>
      <c r="B21" s="184"/>
      <c r="C21" s="184"/>
      <c r="D21" s="184"/>
      <c r="E21" s="227"/>
      <c r="F21" s="184"/>
      <c r="G21" s="144" t="s">
        <v>68</v>
      </c>
      <c r="H21" s="184"/>
      <c r="I21" s="184"/>
      <c r="J21" s="37">
        <f>J18+J19+J20</f>
        <v>1329514</v>
      </c>
      <c r="K21" s="37"/>
      <c r="L21" s="37">
        <f>L18+L19+L20</f>
        <v>1894197</v>
      </c>
      <c r="M21" s="37"/>
      <c r="N21" s="37">
        <f>N18+N19+N20</f>
        <v>2571202</v>
      </c>
      <c r="O21" s="37">
        <v>1890000</v>
      </c>
      <c r="P21" s="37">
        <f>+P18+P19+P20</f>
        <v>2646375</v>
      </c>
      <c r="Q21" s="37">
        <f>+P21+N21+L21+J21</f>
        <v>8441288</v>
      </c>
      <c r="R21" s="40">
        <f>+Q21/(O21*4)</f>
        <v>1.1165724867724869</v>
      </c>
      <c r="S21" s="37">
        <v>1890000</v>
      </c>
      <c r="T21" s="37">
        <v>550392</v>
      </c>
      <c r="U21" s="37">
        <f>+T21+Q21</f>
        <v>8991680</v>
      </c>
      <c r="V21" s="40">
        <f>+U21/(S21*4)</f>
        <v>1.1893756613756614</v>
      </c>
    </row>
    <row r="22" spans="1:22" ht="78" customHeight="1">
      <c r="A22" s="184"/>
      <c r="B22" s="184"/>
      <c r="C22" s="184"/>
      <c r="D22" s="143" t="s">
        <v>214</v>
      </c>
      <c r="E22" s="39">
        <v>2489</v>
      </c>
      <c r="F22" s="184"/>
      <c r="G22" s="144" t="s">
        <v>351</v>
      </c>
      <c r="H22" s="2" t="s">
        <v>187</v>
      </c>
      <c r="I22" s="2" t="s">
        <v>327</v>
      </c>
      <c r="J22" s="37">
        <v>453</v>
      </c>
      <c r="K22" s="37"/>
      <c r="L22" s="37">
        <v>652</v>
      </c>
      <c r="M22" s="37"/>
      <c r="N22" s="37">
        <v>574</v>
      </c>
      <c r="O22" s="37">
        <v>753</v>
      </c>
      <c r="P22" s="37">
        <v>781</v>
      </c>
      <c r="Q22" s="37">
        <v>2460</v>
      </c>
      <c r="R22" s="145">
        <f t="shared" ref="R22:R27" si="2">Q22/E22</f>
        <v>0.98834873443149862</v>
      </c>
      <c r="S22" s="37">
        <v>29</v>
      </c>
      <c r="T22" s="37">
        <v>123</v>
      </c>
      <c r="U22" s="37">
        <f>+T22+Q22</f>
        <v>2583</v>
      </c>
      <c r="V22" s="40">
        <f>+U22/E22</f>
        <v>1.0377661711530735</v>
      </c>
    </row>
    <row r="23" spans="1:22" ht="98.45" customHeight="1">
      <c r="A23" s="184"/>
      <c r="B23" s="184"/>
      <c r="C23" s="184"/>
      <c r="D23" s="143" t="s">
        <v>352</v>
      </c>
      <c r="E23" s="40">
        <v>0.2</v>
      </c>
      <c r="F23" s="184"/>
      <c r="G23" s="2" t="s">
        <v>353</v>
      </c>
      <c r="H23" s="2" t="s">
        <v>188</v>
      </c>
      <c r="I23" s="2" t="s">
        <v>327</v>
      </c>
      <c r="J23" s="37">
        <v>0</v>
      </c>
      <c r="K23" s="37"/>
      <c r="L23" s="37">
        <v>0</v>
      </c>
      <c r="M23" s="37"/>
      <c r="N23" s="40">
        <v>0.27850000000000003</v>
      </c>
      <c r="O23" s="40">
        <v>0.2</v>
      </c>
      <c r="P23" s="40">
        <v>0.2</v>
      </c>
      <c r="Q23" s="40">
        <v>0.2</v>
      </c>
      <c r="R23" s="40">
        <f t="shared" si="2"/>
        <v>1</v>
      </c>
      <c r="S23" s="40">
        <v>0.2</v>
      </c>
      <c r="T23" s="40">
        <v>0.06</v>
      </c>
      <c r="U23" s="40">
        <f>+(T23+P23+N23)/3</f>
        <v>0.17949999999999999</v>
      </c>
      <c r="V23" s="40">
        <f>+U23/E23</f>
        <v>0.89749999999999996</v>
      </c>
    </row>
    <row r="24" spans="1:22" ht="53.85" customHeight="1">
      <c r="A24" s="184"/>
      <c r="B24" s="184" t="s">
        <v>341</v>
      </c>
      <c r="C24" s="2" t="s">
        <v>354</v>
      </c>
      <c r="D24" s="143" t="s">
        <v>215</v>
      </c>
      <c r="E24" s="39">
        <v>50</v>
      </c>
      <c r="F24" s="184"/>
      <c r="G24" s="2" t="s">
        <v>355</v>
      </c>
      <c r="H24" s="2" t="s">
        <v>187</v>
      </c>
      <c r="I24" s="2" t="s">
        <v>327</v>
      </c>
      <c r="J24" s="37">
        <v>1</v>
      </c>
      <c r="K24" s="37"/>
      <c r="L24" s="37">
        <v>14</v>
      </c>
      <c r="M24" s="37"/>
      <c r="N24" s="37">
        <v>25</v>
      </c>
      <c r="O24" s="39">
        <v>10</v>
      </c>
      <c r="P24" s="39">
        <v>10</v>
      </c>
      <c r="Q24" s="37">
        <f>J24+L24+N24+O24</f>
        <v>50</v>
      </c>
      <c r="R24" s="145">
        <f t="shared" si="2"/>
        <v>1</v>
      </c>
      <c r="S24" s="37">
        <v>0</v>
      </c>
      <c r="T24" s="37">
        <v>0</v>
      </c>
      <c r="U24" s="39">
        <f>+T24+Q24</f>
        <v>50</v>
      </c>
      <c r="V24" s="40">
        <f>+U24/E24</f>
        <v>1</v>
      </c>
    </row>
    <row r="25" spans="1:22" ht="47.1" customHeight="1">
      <c r="A25" s="184"/>
      <c r="B25" s="184"/>
      <c r="C25" s="2" t="s">
        <v>356</v>
      </c>
      <c r="D25" s="143" t="s">
        <v>216</v>
      </c>
      <c r="E25" s="39">
        <v>7</v>
      </c>
      <c r="F25" s="184"/>
      <c r="G25" s="2" t="s">
        <v>357</v>
      </c>
      <c r="H25" s="2" t="s">
        <v>186</v>
      </c>
      <c r="I25" s="2" t="s">
        <v>327</v>
      </c>
      <c r="J25" s="37">
        <v>1</v>
      </c>
      <c r="K25" s="37"/>
      <c r="L25" s="37">
        <v>4</v>
      </c>
      <c r="M25" s="37"/>
      <c r="N25" s="37">
        <v>4</v>
      </c>
      <c r="O25" s="39">
        <v>5</v>
      </c>
      <c r="P25" s="39">
        <v>5</v>
      </c>
      <c r="Q25" s="37">
        <v>5</v>
      </c>
      <c r="R25" s="145">
        <f t="shared" si="2"/>
        <v>0.7142857142857143</v>
      </c>
      <c r="S25" s="37">
        <v>7</v>
      </c>
      <c r="T25" s="37">
        <v>0</v>
      </c>
      <c r="U25" s="37">
        <f>+Q25</f>
        <v>5</v>
      </c>
      <c r="V25" s="40">
        <f>+U25/E25</f>
        <v>0.7142857142857143</v>
      </c>
    </row>
    <row r="26" spans="1:22" ht="76.900000000000006" customHeight="1">
      <c r="A26" s="184"/>
      <c r="B26" s="184"/>
      <c r="C26" s="2" t="s">
        <v>358</v>
      </c>
      <c r="D26" s="143" t="s">
        <v>217</v>
      </c>
      <c r="E26" s="37">
        <v>303000</v>
      </c>
      <c r="F26" s="184"/>
      <c r="G26" s="144" t="s">
        <v>359</v>
      </c>
      <c r="H26" s="2" t="s">
        <v>187</v>
      </c>
      <c r="I26" s="2" t="s">
        <v>327</v>
      </c>
      <c r="J26" s="37">
        <v>45548</v>
      </c>
      <c r="K26" s="37"/>
      <c r="L26" s="37">
        <v>65050</v>
      </c>
      <c r="M26" s="37"/>
      <c r="N26" s="37">
        <v>71165</v>
      </c>
      <c r="O26" s="37">
        <v>85000</v>
      </c>
      <c r="P26" s="37">
        <v>100307</v>
      </c>
      <c r="Q26" s="37">
        <v>282070</v>
      </c>
      <c r="R26" s="145">
        <f t="shared" si="2"/>
        <v>0.9309240924092409</v>
      </c>
      <c r="S26" s="37">
        <v>20930</v>
      </c>
      <c r="T26" s="37">
        <v>31459</v>
      </c>
      <c r="U26" s="39">
        <f>+T26+Q26</f>
        <v>313529</v>
      </c>
      <c r="V26" s="40">
        <f>+U26/E26</f>
        <v>1.0347491749174917</v>
      </c>
    </row>
    <row r="27" spans="1:22" ht="75.75" customHeight="1">
      <c r="A27" s="184"/>
      <c r="B27" s="184"/>
      <c r="C27" s="2" t="s">
        <v>360</v>
      </c>
      <c r="D27" s="143" t="s">
        <v>361</v>
      </c>
      <c r="E27" s="39">
        <v>1</v>
      </c>
      <c r="F27" s="184"/>
      <c r="G27" s="2" t="s">
        <v>362</v>
      </c>
      <c r="H27" s="2"/>
      <c r="I27" s="2" t="s">
        <v>327</v>
      </c>
      <c r="J27" s="37">
        <v>1</v>
      </c>
      <c r="K27" s="37"/>
      <c r="L27" s="37" t="s">
        <v>363</v>
      </c>
      <c r="M27" s="37"/>
      <c r="N27" s="39" t="s">
        <v>364</v>
      </c>
      <c r="O27" s="39" t="s">
        <v>363</v>
      </c>
      <c r="P27" s="39" t="s">
        <v>363</v>
      </c>
      <c r="Q27" s="37">
        <v>1</v>
      </c>
      <c r="R27" s="145">
        <f t="shared" si="2"/>
        <v>1</v>
      </c>
      <c r="S27" s="37" t="s">
        <v>363</v>
      </c>
      <c r="T27" s="37">
        <v>0</v>
      </c>
      <c r="U27" s="37" t="s">
        <v>363</v>
      </c>
      <c r="V27" s="37" t="s">
        <v>363</v>
      </c>
    </row>
    <row r="28" spans="1:22" ht="50.65" hidden="1" customHeight="1">
      <c r="A28" s="184"/>
      <c r="B28" s="150"/>
      <c r="C28" s="2" t="s">
        <v>363</v>
      </c>
      <c r="D28" s="2" t="s">
        <v>365</v>
      </c>
      <c r="E28" s="151"/>
      <c r="F28" s="151"/>
      <c r="G28" s="2" t="s">
        <v>365</v>
      </c>
      <c r="H28" s="2" t="s">
        <v>213</v>
      </c>
      <c r="I28" s="2" t="s">
        <v>366</v>
      </c>
      <c r="J28" s="37">
        <v>258674</v>
      </c>
      <c r="K28" s="37"/>
      <c r="L28" s="37">
        <v>278530</v>
      </c>
      <c r="M28" s="37"/>
      <c r="N28" s="37">
        <v>448820</v>
      </c>
      <c r="O28" s="37">
        <v>260000</v>
      </c>
      <c r="P28" s="37"/>
      <c r="Q28" s="37" t="e">
        <f>NA()</f>
        <v>#N/A</v>
      </c>
      <c r="R28" s="40">
        <v>0.51226923076923103</v>
      </c>
      <c r="S28" s="37">
        <v>260000</v>
      </c>
      <c r="T28" s="37"/>
      <c r="U28" s="39"/>
      <c r="V28" s="37">
        <v>260000</v>
      </c>
    </row>
    <row r="29" spans="1:22" ht="57.4" hidden="1" customHeight="1">
      <c r="A29" s="184"/>
      <c r="B29" s="150"/>
      <c r="C29" s="2" t="s">
        <v>363</v>
      </c>
      <c r="D29" s="2" t="s">
        <v>367</v>
      </c>
      <c r="E29" s="151"/>
      <c r="F29" s="151"/>
      <c r="G29" s="2" t="s">
        <v>367</v>
      </c>
      <c r="H29" s="2" t="s">
        <v>213</v>
      </c>
      <c r="I29" s="2" t="s">
        <v>366</v>
      </c>
      <c r="J29" s="37">
        <v>9686</v>
      </c>
      <c r="K29" s="37"/>
      <c r="L29" s="37">
        <v>9658</v>
      </c>
      <c r="M29" s="37"/>
      <c r="N29" s="37">
        <v>14148</v>
      </c>
      <c r="O29" s="37">
        <v>10000</v>
      </c>
      <c r="P29" s="37"/>
      <c r="Q29" s="37" t="e">
        <f>NA()</f>
        <v>#N/A</v>
      </c>
      <c r="R29" s="40">
        <v>1.0461</v>
      </c>
      <c r="S29" s="37">
        <v>10000</v>
      </c>
      <c r="T29" s="37"/>
      <c r="U29" s="39"/>
      <c r="V29" s="37">
        <v>10000</v>
      </c>
    </row>
    <row r="30" spans="1:22" ht="53.85" customHeight="1">
      <c r="A30" s="184"/>
      <c r="B30" s="2" t="s">
        <v>368</v>
      </c>
      <c r="C30" s="2" t="s">
        <v>369</v>
      </c>
      <c r="D30" s="143" t="s">
        <v>218</v>
      </c>
      <c r="E30" s="39">
        <v>6</v>
      </c>
      <c r="F30" s="2" t="s">
        <v>370</v>
      </c>
      <c r="G30" s="2" t="s">
        <v>371</v>
      </c>
      <c r="H30" s="2" t="s">
        <v>187</v>
      </c>
      <c r="I30" s="2" t="s">
        <v>327</v>
      </c>
      <c r="J30" s="37">
        <v>1</v>
      </c>
      <c r="K30" s="37"/>
      <c r="L30" s="37">
        <v>2</v>
      </c>
      <c r="M30" s="37"/>
      <c r="N30" s="39">
        <v>1</v>
      </c>
      <c r="O30" s="39">
        <v>1</v>
      </c>
      <c r="P30" s="39">
        <v>1</v>
      </c>
      <c r="Q30" s="37">
        <v>5</v>
      </c>
      <c r="R30" s="145">
        <f>Q30/E30</f>
        <v>0.83333333333333337</v>
      </c>
      <c r="S30" s="37">
        <v>1</v>
      </c>
      <c r="T30" s="37">
        <v>0</v>
      </c>
      <c r="U30" s="39">
        <f>+T30+Q30</f>
        <v>5</v>
      </c>
      <c r="V30" s="40">
        <f>+U30/E30</f>
        <v>0.83333333333333337</v>
      </c>
    </row>
    <row r="31" spans="1:22" ht="123.95" customHeight="1">
      <c r="A31" s="184" t="s">
        <v>372</v>
      </c>
      <c r="B31" s="2" t="s">
        <v>373</v>
      </c>
      <c r="C31" s="2" t="s">
        <v>374</v>
      </c>
      <c r="D31" s="143" t="s">
        <v>219</v>
      </c>
      <c r="E31" s="39">
        <v>6</v>
      </c>
      <c r="F31" s="184" t="s">
        <v>375</v>
      </c>
      <c r="G31" s="2" t="s">
        <v>376</v>
      </c>
      <c r="H31" s="2" t="s">
        <v>188</v>
      </c>
      <c r="I31" s="2" t="s">
        <v>327</v>
      </c>
      <c r="J31" s="37">
        <v>6</v>
      </c>
      <c r="K31" s="37"/>
      <c r="L31" s="37">
        <v>6</v>
      </c>
      <c r="M31" s="37"/>
      <c r="N31" s="39">
        <v>6</v>
      </c>
      <c r="O31" s="39">
        <v>6</v>
      </c>
      <c r="P31" s="39">
        <v>6</v>
      </c>
      <c r="Q31" s="37">
        <v>6</v>
      </c>
      <c r="R31" s="145">
        <f>Q31/E31</f>
        <v>1</v>
      </c>
      <c r="S31" s="37">
        <v>6</v>
      </c>
      <c r="T31" s="37">
        <v>6</v>
      </c>
      <c r="U31" s="39">
        <v>6</v>
      </c>
      <c r="V31" s="40">
        <f>+U31/E31</f>
        <v>1</v>
      </c>
    </row>
    <row r="32" spans="1:22" ht="110.45" hidden="1" customHeight="1">
      <c r="A32" s="184"/>
      <c r="B32" s="2" t="s">
        <v>377</v>
      </c>
      <c r="C32" s="2" t="s">
        <v>363</v>
      </c>
      <c r="D32" s="2" t="s">
        <v>377</v>
      </c>
      <c r="E32" s="39"/>
      <c r="F32" s="184"/>
      <c r="G32" s="2" t="s">
        <v>377</v>
      </c>
      <c r="H32" s="37" t="s">
        <v>187</v>
      </c>
      <c r="I32" s="2" t="s">
        <v>366</v>
      </c>
      <c r="J32" s="37">
        <v>0</v>
      </c>
      <c r="K32" s="37"/>
      <c r="L32" s="37">
        <v>2726</v>
      </c>
      <c r="M32" s="37"/>
      <c r="N32" s="39">
        <v>0</v>
      </c>
      <c r="O32" s="37">
        <v>2800</v>
      </c>
      <c r="P32" s="37"/>
      <c r="Q32" s="39">
        <f>+(2726+1215)</f>
        <v>3941</v>
      </c>
      <c r="R32" s="40">
        <v>0.49262499999999998</v>
      </c>
      <c r="S32" s="37">
        <v>1200</v>
      </c>
      <c r="T32" s="39"/>
      <c r="U32" s="39"/>
      <c r="V32" s="37">
        <v>1200</v>
      </c>
    </row>
    <row r="33" spans="1:22" ht="159.6" customHeight="1">
      <c r="A33" s="184"/>
      <c r="B33" s="2" t="s">
        <v>378</v>
      </c>
      <c r="C33" s="2" t="s">
        <v>379</v>
      </c>
      <c r="D33" s="143" t="s">
        <v>380</v>
      </c>
      <c r="E33" s="39">
        <v>1</v>
      </c>
      <c r="F33" s="184"/>
      <c r="G33" s="152" t="s">
        <v>381</v>
      </c>
      <c r="H33" s="2" t="s">
        <v>188</v>
      </c>
      <c r="I33" s="2" t="s">
        <v>327</v>
      </c>
      <c r="J33" s="37">
        <v>0</v>
      </c>
      <c r="K33" s="37"/>
      <c r="L33" s="37">
        <v>1</v>
      </c>
      <c r="M33" s="37"/>
      <c r="N33" s="39">
        <v>1</v>
      </c>
      <c r="O33" s="39">
        <v>0</v>
      </c>
      <c r="P33" s="39">
        <v>0</v>
      </c>
      <c r="Q33" s="37">
        <v>0</v>
      </c>
      <c r="R33" s="145">
        <f>L33/E33</f>
        <v>1</v>
      </c>
      <c r="S33" s="37">
        <v>1</v>
      </c>
      <c r="T33" s="37">
        <v>0</v>
      </c>
      <c r="U33" s="39">
        <v>1</v>
      </c>
      <c r="V33" s="40">
        <f>+U33/E33</f>
        <v>1</v>
      </c>
    </row>
    <row r="34" spans="1:22" ht="95.25" customHeight="1">
      <c r="A34" s="184"/>
      <c r="B34" s="2" t="s">
        <v>382</v>
      </c>
      <c r="C34" s="2" t="s">
        <v>383</v>
      </c>
      <c r="D34" s="143" t="s">
        <v>220</v>
      </c>
      <c r="E34" s="43">
        <v>1</v>
      </c>
      <c r="F34" s="184" t="s">
        <v>384</v>
      </c>
      <c r="G34" s="149" t="s">
        <v>385</v>
      </c>
      <c r="H34" s="2" t="s">
        <v>186</v>
      </c>
      <c r="I34" s="2" t="s">
        <v>327</v>
      </c>
      <c r="J34" s="147">
        <v>0.57999999999999996</v>
      </c>
      <c r="K34" s="147"/>
      <c r="L34" s="37">
        <v>0.54</v>
      </c>
      <c r="M34" s="37"/>
      <c r="N34" s="153">
        <v>0.66</v>
      </c>
      <c r="O34" s="43">
        <v>0.8</v>
      </c>
      <c r="P34" s="43">
        <v>0.78</v>
      </c>
      <c r="Q34" s="40">
        <v>0.78</v>
      </c>
      <c r="R34" s="145">
        <f>Q34/E34</f>
        <v>0.78</v>
      </c>
      <c r="S34" s="40">
        <v>1</v>
      </c>
      <c r="T34" s="40">
        <v>0.81</v>
      </c>
      <c r="U34" s="40">
        <f>+T34</f>
        <v>0.81</v>
      </c>
      <c r="V34" s="40">
        <f>+U34/E34</f>
        <v>0.81</v>
      </c>
    </row>
    <row r="35" spans="1:22" ht="53.85" hidden="1" customHeight="1">
      <c r="A35" s="2" t="s">
        <v>363</v>
      </c>
      <c r="B35" s="2" t="s">
        <v>363</v>
      </c>
      <c r="C35" s="2" t="s">
        <v>363</v>
      </c>
      <c r="D35" s="2" t="s">
        <v>386</v>
      </c>
      <c r="E35" s="2"/>
      <c r="F35" s="184"/>
      <c r="G35" s="2" t="s">
        <v>386</v>
      </c>
      <c r="H35" s="2" t="s">
        <v>187</v>
      </c>
      <c r="I35" s="2" t="s">
        <v>366</v>
      </c>
      <c r="J35" s="37">
        <v>0</v>
      </c>
      <c r="K35" s="37"/>
      <c r="L35" s="37">
        <v>1</v>
      </c>
      <c r="M35" s="37"/>
      <c r="N35" s="39">
        <v>1</v>
      </c>
      <c r="O35" s="37">
        <v>1</v>
      </c>
      <c r="P35" s="37"/>
      <c r="Q35" s="39">
        <v>3</v>
      </c>
      <c r="R35" s="39"/>
      <c r="S35" s="37">
        <v>1</v>
      </c>
      <c r="T35" s="39"/>
      <c r="U35" s="40">
        <v>0.75</v>
      </c>
      <c r="V35" s="37">
        <v>1</v>
      </c>
    </row>
    <row r="36" spans="1:22" ht="48.2" hidden="1" customHeight="1">
      <c r="A36" s="2" t="s">
        <v>363</v>
      </c>
      <c r="B36" s="2" t="s">
        <v>363</v>
      </c>
      <c r="C36" s="2" t="s">
        <v>363</v>
      </c>
      <c r="D36" s="2" t="s">
        <v>387</v>
      </c>
      <c r="E36" s="2"/>
      <c r="F36" s="184"/>
      <c r="G36" s="2" t="s">
        <v>387</v>
      </c>
      <c r="H36" s="2" t="s">
        <v>186</v>
      </c>
      <c r="I36" s="2" t="s">
        <v>366</v>
      </c>
      <c r="J36" s="37">
        <v>1</v>
      </c>
      <c r="K36" s="37"/>
      <c r="L36" s="37">
        <v>1</v>
      </c>
      <c r="M36" s="37"/>
      <c r="N36" s="39">
        <v>1</v>
      </c>
      <c r="O36" s="37">
        <v>2</v>
      </c>
      <c r="P36" s="37"/>
      <c r="Q36" s="39">
        <v>1</v>
      </c>
      <c r="R36" s="39"/>
      <c r="S36" s="37">
        <v>2</v>
      </c>
      <c r="T36" s="39"/>
      <c r="U36" s="40">
        <v>0.5</v>
      </c>
      <c r="V36" s="37">
        <v>2</v>
      </c>
    </row>
    <row r="37" spans="1:22" ht="47.1" hidden="1" customHeight="1">
      <c r="A37" s="2" t="s">
        <v>363</v>
      </c>
      <c r="B37" s="2" t="s">
        <v>363</v>
      </c>
      <c r="C37" s="2" t="s">
        <v>363</v>
      </c>
      <c r="D37" s="2" t="s">
        <v>388</v>
      </c>
      <c r="E37" s="121"/>
      <c r="F37" s="184" t="s">
        <v>389</v>
      </c>
      <c r="G37" s="2" t="s">
        <v>388</v>
      </c>
      <c r="H37" s="144" t="s">
        <v>188</v>
      </c>
      <c r="I37" s="144" t="s">
        <v>366</v>
      </c>
      <c r="J37" s="37">
        <v>8332</v>
      </c>
      <c r="K37" s="37"/>
      <c r="L37" s="37">
        <v>615155</v>
      </c>
      <c r="M37" s="37"/>
      <c r="N37" s="37">
        <v>986126</v>
      </c>
      <c r="O37" s="37">
        <v>1000000</v>
      </c>
      <c r="P37" s="37"/>
      <c r="Q37" s="37" t="e">
        <f>NA()</f>
        <v>#N/A</v>
      </c>
      <c r="R37" s="37"/>
      <c r="S37" s="37">
        <v>1000000</v>
      </c>
      <c r="T37" s="37"/>
      <c r="U37" s="40">
        <v>1.26478</v>
      </c>
      <c r="V37" s="37">
        <v>1000000</v>
      </c>
    </row>
    <row r="38" spans="1:22" ht="43.5" hidden="1" customHeight="1">
      <c r="A38" s="2" t="s">
        <v>363</v>
      </c>
      <c r="B38" s="2" t="s">
        <v>363</v>
      </c>
      <c r="C38" s="2" t="s">
        <v>363</v>
      </c>
      <c r="D38" s="2" t="s">
        <v>390</v>
      </c>
      <c r="E38" s="121"/>
      <c r="F38" s="184"/>
      <c r="G38" s="2" t="s">
        <v>390</v>
      </c>
      <c r="H38" s="144" t="s">
        <v>186</v>
      </c>
      <c r="I38" s="144" t="s">
        <v>366</v>
      </c>
      <c r="J38" s="37">
        <v>1852</v>
      </c>
      <c r="K38" s="37"/>
      <c r="L38" s="37">
        <v>2855</v>
      </c>
      <c r="M38" s="37"/>
      <c r="N38" s="37">
        <v>3695</v>
      </c>
      <c r="O38" s="37">
        <v>3000</v>
      </c>
      <c r="P38" s="37"/>
      <c r="Q38" s="39">
        <v>3724</v>
      </c>
      <c r="R38" s="39"/>
      <c r="S38" s="37">
        <v>3000</v>
      </c>
      <c r="T38" s="39"/>
      <c r="U38" s="40">
        <v>1.2413333333333301</v>
      </c>
      <c r="V38" s="37">
        <v>3000</v>
      </c>
    </row>
    <row r="39" spans="1:22" ht="60.75" hidden="1" customHeight="1">
      <c r="A39" s="2" t="s">
        <v>363</v>
      </c>
      <c r="B39" s="2" t="s">
        <v>363</v>
      </c>
      <c r="C39" s="2" t="s">
        <v>363</v>
      </c>
      <c r="D39" s="2" t="s">
        <v>391</v>
      </c>
      <c r="E39" s="121"/>
      <c r="F39" s="184"/>
      <c r="G39" s="2" t="s">
        <v>391</v>
      </c>
      <c r="H39" s="2" t="s">
        <v>188</v>
      </c>
      <c r="I39" s="2" t="s">
        <v>366</v>
      </c>
      <c r="J39" s="37">
        <v>0</v>
      </c>
      <c r="K39" s="37"/>
      <c r="L39" s="37">
        <v>1</v>
      </c>
      <c r="M39" s="37"/>
      <c r="N39" s="39">
        <v>1</v>
      </c>
      <c r="O39" s="37">
        <v>1</v>
      </c>
      <c r="P39" s="37"/>
      <c r="Q39" s="39">
        <v>1</v>
      </c>
      <c r="R39" s="39"/>
      <c r="S39" s="37">
        <v>2</v>
      </c>
      <c r="T39" s="39"/>
      <c r="U39" s="40">
        <v>1</v>
      </c>
      <c r="V39" s="37">
        <v>2</v>
      </c>
    </row>
    <row r="40" spans="1:22" ht="15.75" customHeight="1">
      <c r="A40" s="154"/>
      <c r="B40" s="155"/>
      <c r="C40" s="155"/>
      <c r="D40" s="154"/>
      <c r="E40" s="155"/>
      <c r="F40" s="155"/>
      <c r="G40" s="156"/>
      <c r="H40" s="155"/>
      <c r="I40" s="155"/>
      <c r="J40" s="155"/>
      <c r="K40" s="155"/>
      <c r="L40" s="155"/>
      <c r="M40" s="155"/>
      <c r="N40" s="155"/>
      <c r="O40" s="155"/>
      <c r="P40" s="155"/>
      <c r="U40" s="157"/>
    </row>
    <row r="41" spans="1:22" ht="15.75" customHeight="1">
      <c r="A41" s="154"/>
      <c r="B41" s="155"/>
      <c r="C41" s="155"/>
      <c r="D41" s="154"/>
      <c r="E41" s="155"/>
      <c r="F41" s="155"/>
      <c r="G41" s="156"/>
      <c r="H41" s="155"/>
      <c r="I41" s="155"/>
      <c r="J41" s="155"/>
      <c r="K41" s="155"/>
      <c r="L41" s="155"/>
      <c r="M41" s="155"/>
      <c r="N41" s="155"/>
      <c r="O41" s="155"/>
      <c r="P41" s="155"/>
      <c r="U41" s="157"/>
    </row>
    <row r="42" spans="1:22" ht="15.75" customHeight="1">
      <c r="A42" s="154"/>
      <c r="B42" s="155"/>
      <c r="C42" s="155"/>
      <c r="D42" s="154"/>
      <c r="E42" s="155"/>
      <c r="F42" s="155"/>
      <c r="G42" s="156"/>
      <c r="H42" s="155"/>
      <c r="I42" s="155"/>
      <c r="J42" s="155"/>
      <c r="K42" s="155"/>
      <c r="L42" s="155"/>
      <c r="M42" s="155"/>
      <c r="N42" s="155"/>
      <c r="O42" s="155"/>
      <c r="P42" s="155"/>
      <c r="U42" s="157"/>
    </row>
    <row r="43" spans="1:22" ht="15.75" customHeight="1">
      <c r="A43" s="154"/>
      <c r="B43" s="155"/>
      <c r="C43" s="155"/>
      <c r="D43" s="154"/>
      <c r="E43" s="155"/>
      <c r="F43" s="155" t="s">
        <v>392</v>
      </c>
      <c r="G43" s="156"/>
      <c r="H43" s="155"/>
      <c r="I43" s="155"/>
      <c r="J43" s="155"/>
      <c r="K43" s="155"/>
      <c r="L43" s="155"/>
      <c r="M43" s="155"/>
      <c r="N43" s="155"/>
      <c r="O43" s="155"/>
      <c r="P43" s="155"/>
      <c r="U43" s="157"/>
    </row>
  </sheetData>
  <sheetProtection selectLockedCells="1" selectUnlockedCells="1"/>
  <mergeCells count="26">
    <mergeCell ref="C14:C15"/>
    <mergeCell ref="B16:B23"/>
    <mergeCell ref="C16:C23"/>
    <mergeCell ref="D18:D21"/>
    <mergeCell ref="F37:F39"/>
    <mergeCell ref="H18:H21"/>
    <mergeCell ref="I18:I21"/>
    <mergeCell ref="F20:F27"/>
    <mergeCell ref="A2:A5"/>
    <mergeCell ref="B2:V3"/>
    <mergeCell ref="B4:V5"/>
    <mergeCell ref="A9:A30"/>
    <mergeCell ref="B9:B10"/>
    <mergeCell ref="C9:C10"/>
    <mergeCell ref="F9:F10"/>
    <mergeCell ref="B11:B12"/>
    <mergeCell ref="C11:C12"/>
    <mergeCell ref="F11:F12"/>
    <mergeCell ref="B13:B15"/>
    <mergeCell ref="F13:F15"/>
    <mergeCell ref="B24:B27"/>
    <mergeCell ref="A31:A34"/>
    <mergeCell ref="F31:F33"/>
    <mergeCell ref="F34:F36"/>
    <mergeCell ref="E18:E21"/>
    <mergeCell ref="F18:F19"/>
  </mergeCell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topLeftCell="A43" zoomScale="75" zoomScaleNormal="75" workbookViewId="0">
      <selection activeCell="A45" sqref="A45:K64"/>
    </sheetView>
  </sheetViews>
  <sheetFormatPr baseColWidth="10" defaultRowHeight="14.65" customHeight="1"/>
  <cols>
    <col min="1" max="1" width="53.7109375" style="1" customWidth="1"/>
    <col min="2" max="2" width="8.7109375" style="1" customWidth="1"/>
    <col min="3" max="3" width="12.140625" style="1" bestFit="1" customWidth="1"/>
    <col min="4" max="4" width="15.85546875" style="1" customWidth="1"/>
    <col min="5" max="5" width="14.7109375" style="1" customWidth="1"/>
    <col min="6" max="6" width="11.5703125" style="1" customWidth="1"/>
    <col min="7" max="7" width="15.85546875" style="1" customWidth="1"/>
    <col min="8" max="8" width="12" style="1" customWidth="1"/>
    <col min="9" max="9" width="15.85546875" style="1" customWidth="1"/>
    <col min="10" max="10" width="13" style="1" customWidth="1"/>
    <col min="11" max="11" width="16.85546875" style="1" customWidth="1"/>
    <col min="12" max="12" width="13.85546875" style="1" customWidth="1"/>
    <col min="13" max="13" width="17.140625" style="1" customWidth="1"/>
    <col min="14" max="14" width="17.42578125" style="1" customWidth="1"/>
    <col min="15" max="15" width="16.85546875" style="1" customWidth="1"/>
    <col min="16" max="16" width="15.28515625" style="1" customWidth="1"/>
    <col min="17" max="17" width="18.28515625" style="1" customWidth="1"/>
    <col min="18" max="16384" width="11.42578125" style="1"/>
  </cols>
  <sheetData>
    <row r="1" spans="1:17" s="3" customFormat="1" ht="13.9" customHeight="1">
      <c r="A1" s="51"/>
      <c r="B1" s="51"/>
      <c r="C1" s="210" t="s">
        <v>0</v>
      </c>
      <c r="D1" s="210"/>
      <c r="E1" s="210"/>
      <c r="F1" s="210"/>
      <c r="G1" s="210"/>
      <c r="H1" s="210"/>
      <c r="I1" s="210"/>
      <c r="J1" s="210"/>
      <c r="K1" s="210"/>
      <c r="L1" s="210"/>
      <c r="M1" s="204" t="s">
        <v>28</v>
      </c>
      <c r="N1" s="204"/>
      <c r="O1" s="204"/>
      <c r="P1" s="204"/>
      <c r="Q1" s="204"/>
    </row>
    <row r="2" spans="1:17" s="3" customFormat="1" ht="13.9" customHeight="1">
      <c r="A2" s="53"/>
      <c r="B2" s="53"/>
      <c r="C2" s="210"/>
      <c r="D2" s="210"/>
      <c r="E2" s="210"/>
      <c r="F2" s="210"/>
      <c r="G2" s="210"/>
      <c r="H2" s="210"/>
      <c r="I2" s="210"/>
      <c r="J2" s="210"/>
      <c r="K2" s="210"/>
      <c r="L2" s="210"/>
      <c r="M2" s="204"/>
      <c r="N2" s="204"/>
      <c r="O2" s="204"/>
      <c r="P2" s="204"/>
      <c r="Q2" s="204"/>
    </row>
    <row r="3" spans="1:17" s="3" customFormat="1" ht="13.9" customHeight="1">
      <c r="A3" s="53"/>
      <c r="B3" s="53"/>
      <c r="C3" s="210"/>
      <c r="D3" s="210"/>
      <c r="E3" s="210"/>
      <c r="F3" s="210"/>
      <c r="G3" s="210"/>
      <c r="H3" s="210"/>
      <c r="I3" s="210"/>
      <c r="J3" s="210"/>
      <c r="K3" s="210"/>
      <c r="L3" s="210"/>
      <c r="M3" s="204" t="s">
        <v>29</v>
      </c>
      <c r="N3" s="204"/>
      <c r="O3" s="204"/>
      <c r="P3" s="204"/>
      <c r="Q3" s="204"/>
    </row>
    <row r="4" spans="1:17" s="3" customFormat="1" ht="13.9" customHeight="1">
      <c r="A4" s="53"/>
      <c r="B4" s="53"/>
      <c r="C4" s="210" t="s">
        <v>30</v>
      </c>
      <c r="D4" s="210"/>
      <c r="E4" s="210"/>
      <c r="F4" s="210"/>
      <c r="G4" s="210"/>
      <c r="H4" s="210"/>
      <c r="I4" s="210"/>
      <c r="J4" s="210"/>
      <c r="K4" s="210"/>
      <c r="L4" s="210"/>
      <c r="M4" s="204"/>
      <c r="N4" s="204"/>
      <c r="O4" s="204"/>
      <c r="P4" s="204"/>
      <c r="Q4" s="204"/>
    </row>
    <row r="5" spans="1:17" s="3" customFormat="1" ht="13.9" customHeight="1">
      <c r="A5" s="53"/>
      <c r="B5" s="53"/>
      <c r="C5" s="210"/>
      <c r="D5" s="210"/>
      <c r="E5" s="210"/>
      <c r="F5" s="210"/>
      <c r="G5" s="210"/>
      <c r="H5" s="210"/>
      <c r="I5" s="210"/>
      <c r="J5" s="210"/>
      <c r="K5" s="210"/>
      <c r="L5" s="210"/>
      <c r="M5" s="204" t="s">
        <v>31</v>
      </c>
      <c r="N5" s="204"/>
      <c r="O5" s="204"/>
      <c r="P5" s="204"/>
      <c r="Q5" s="204"/>
    </row>
    <row r="6" spans="1:17" s="3" customFormat="1" ht="13.9" customHeight="1">
      <c r="A6" s="55"/>
      <c r="B6" s="55"/>
      <c r="C6" s="210"/>
      <c r="D6" s="210"/>
      <c r="E6" s="210"/>
      <c r="F6" s="210"/>
      <c r="G6" s="210"/>
      <c r="H6" s="210"/>
      <c r="I6" s="210"/>
      <c r="J6" s="210"/>
      <c r="K6" s="210"/>
      <c r="L6" s="210"/>
      <c r="M6" s="204"/>
      <c r="N6" s="204"/>
      <c r="O6" s="204"/>
      <c r="P6" s="204"/>
      <c r="Q6" s="204"/>
    </row>
    <row r="7" spans="1:17" s="3" customFormat="1" ht="12.75" customHeight="1">
      <c r="A7" s="185"/>
      <c r="B7" s="185"/>
      <c r="C7" s="185"/>
      <c r="D7" s="185"/>
      <c r="E7" s="185"/>
      <c r="F7" s="185"/>
      <c r="G7" s="185"/>
      <c r="H7" s="185"/>
      <c r="I7" s="185"/>
      <c r="J7" s="185"/>
      <c r="K7" s="185"/>
      <c r="L7" s="185"/>
      <c r="M7" s="185"/>
      <c r="N7" s="185"/>
      <c r="O7" s="185"/>
      <c r="P7" s="185"/>
      <c r="Q7" s="185"/>
    </row>
    <row r="8" spans="1:17" ht="30" customHeight="1">
      <c r="A8" s="179" t="s">
        <v>2</v>
      </c>
      <c r="B8" s="179"/>
      <c r="C8" s="179"/>
      <c r="D8" s="179"/>
      <c r="E8" s="179"/>
      <c r="F8" s="179"/>
      <c r="G8" s="179"/>
      <c r="H8" s="179"/>
      <c r="I8" s="179"/>
      <c r="J8" s="179"/>
      <c r="K8" s="179"/>
      <c r="L8" s="179"/>
      <c r="M8" s="179"/>
      <c r="N8" s="179"/>
      <c r="O8" s="179"/>
      <c r="P8" s="179"/>
      <c r="Q8" s="179"/>
    </row>
    <row r="9" spans="1:17" ht="42" customHeight="1">
      <c r="A9" s="200" t="s">
        <v>3</v>
      </c>
      <c r="B9" s="200"/>
      <c r="C9" s="200"/>
      <c r="D9" s="201" t="s">
        <v>189</v>
      </c>
      <c r="E9" s="201"/>
      <c r="F9" s="201"/>
      <c r="G9" s="201"/>
      <c r="H9" s="201"/>
      <c r="I9" s="200" t="s">
        <v>5</v>
      </c>
      <c r="J9" s="200"/>
      <c r="K9" s="200"/>
      <c r="L9" s="200"/>
      <c r="M9" s="201" t="s">
        <v>90</v>
      </c>
      <c r="N9" s="201"/>
      <c r="O9" s="201"/>
      <c r="P9" s="201"/>
      <c r="Q9" s="201"/>
    </row>
    <row r="10" spans="1:17" ht="42" customHeight="1">
      <c r="A10" s="200" t="s">
        <v>7</v>
      </c>
      <c r="B10" s="200"/>
      <c r="C10" s="200"/>
      <c r="D10" s="201" t="s">
        <v>8</v>
      </c>
      <c r="E10" s="201"/>
      <c r="F10" s="201"/>
      <c r="G10" s="201"/>
      <c r="H10" s="201"/>
      <c r="I10" s="200" t="s">
        <v>9</v>
      </c>
      <c r="J10" s="200"/>
      <c r="K10" s="200"/>
      <c r="L10" s="200"/>
      <c r="M10" s="201" t="s">
        <v>10</v>
      </c>
      <c r="N10" s="201"/>
      <c r="O10" s="201"/>
      <c r="P10" s="201"/>
      <c r="Q10" s="201"/>
    </row>
    <row r="11" spans="1:17" ht="44.25" customHeight="1">
      <c r="A11" s="200" t="s">
        <v>11</v>
      </c>
      <c r="B11" s="200"/>
      <c r="C11" s="200"/>
      <c r="D11" s="201" t="s">
        <v>192</v>
      </c>
      <c r="E11" s="201"/>
      <c r="F11" s="201"/>
      <c r="G11" s="201"/>
      <c r="H11" s="201"/>
      <c r="I11" s="230" t="s">
        <v>32</v>
      </c>
      <c r="J11" s="230"/>
      <c r="K11" s="230"/>
      <c r="L11" s="230"/>
      <c r="M11" s="201" t="s">
        <v>33</v>
      </c>
      <c r="N11" s="201"/>
      <c r="O11" s="201"/>
      <c r="P11" s="201"/>
      <c r="Q11" s="201"/>
    </row>
    <row r="12" spans="1:17" ht="57" customHeight="1">
      <c r="A12" s="200" t="s">
        <v>34</v>
      </c>
      <c r="B12" s="200"/>
      <c r="C12" s="200"/>
      <c r="D12" s="201" t="s">
        <v>193</v>
      </c>
      <c r="E12" s="201"/>
      <c r="F12" s="201"/>
      <c r="G12" s="201"/>
      <c r="H12" s="201"/>
      <c r="I12" s="230" t="s">
        <v>36</v>
      </c>
      <c r="J12" s="230"/>
      <c r="K12" s="230"/>
      <c r="L12" s="230"/>
      <c r="M12" s="201" t="s">
        <v>37</v>
      </c>
      <c r="N12" s="201"/>
      <c r="O12" s="201"/>
      <c r="P12" s="201"/>
      <c r="Q12" s="201"/>
    </row>
    <row r="13" spans="1:17" ht="37.5" customHeight="1">
      <c r="A13" s="200" t="s">
        <v>38</v>
      </c>
      <c r="B13" s="200"/>
      <c r="C13" s="200"/>
      <c r="D13" s="201" t="s">
        <v>194</v>
      </c>
      <c r="E13" s="201"/>
      <c r="F13" s="201"/>
      <c r="G13" s="201"/>
      <c r="H13" s="201"/>
      <c r="I13" s="230" t="s">
        <v>40</v>
      </c>
      <c r="J13" s="230"/>
      <c r="K13" s="230"/>
      <c r="L13" s="230"/>
      <c r="M13" s="201" t="s">
        <v>195</v>
      </c>
      <c r="N13" s="201"/>
      <c r="O13" s="201"/>
      <c r="P13" s="201"/>
      <c r="Q13" s="201"/>
    </row>
    <row r="14" spans="1:17" ht="38.25" customHeight="1">
      <c r="A14" s="200" t="s">
        <v>42</v>
      </c>
      <c r="B14" s="200"/>
      <c r="C14" s="200"/>
      <c r="D14" s="201" t="s">
        <v>441</v>
      </c>
      <c r="E14" s="201"/>
      <c r="F14" s="201"/>
      <c r="G14" s="201"/>
      <c r="H14" s="201"/>
      <c r="I14" s="200" t="s">
        <v>44</v>
      </c>
      <c r="J14" s="200"/>
      <c r="K14" s="200"/>
      <c r="L14" s="200"/>
      <c r="M14" s="201" t="s">
        <v>196</v>
      </c>
      <c r="N14" s="201"/>
      <c r="O14" s="201"/>
      <c r="P14" s="201"/>
      <c r="Q14" s="201"/>
    </row>
    <row r="15" spans="1:17" ht="42.4" customHeight="1">
      <c r="A15" s="200" t="s">
        <v>46</v>
      </c>
      <c r="B15" s="200"/>
      <c r="C15" s="200"/>
      <c r="D15" s="201" t="s">
        <v>47</v>
      </c>
      <c r="E15" s="201"/>
      <c r="F15" s="201"/>
      <c r="G15" s="201"/>
      <c r="H15" s="201"/>
      <c r="I15" s="200" t="s">
        <v>48</v>
      </c>
      <c r="J15" s="200"/>
      <c r="K15" s="200"/>
      <c r="L15" s="200"/>
      <c r="M15" s="201" t="s">
        <v>49</v>
      </c>
      <c r="N15" s="201"/>
      <c r="O15" s="201"/>
      <c r="P15" s="201"/>
      <c r="Q15" s="201"/>
    </row>
    <row r="16" spans="1:17" ht="35.25" customHeight="1">
      <c r="A16" s="200"/>
      <c r="B16" s="200"/>
      <c r="C16" s="200"/>
      <c r="D16" s="201" t="s">
        <v>50</v>
      </c>
      <c r="E16" s="201"/>
      <c r="F16" s="201"/>
      <c r="G16" s="201"/>
      <c r="H16" s="201"/>
      <c r="I16" s="200" t="s">
        <v>197</v>
      </c>
      <c r="J16" s="200"/>
      <c r="K16" s="200"/>
      <c r="L16" s="200"/>
      <c r="M16" s="201" t="s">
        <v>51</v>
      </c>
      <c r="N16" s="201"/>
      <c r="O16" s="201"/>
      <c r="P16" s="201"/>
      <c r="Q16" s="201"/>
    </row>
    <row r="17" spans="1:20" ht="6.75" customHeight="1"/>
    <row r="18" spans="1:20" ht="26.85" customHeight="1">
      <c r="A18" s="179" t="s">
        <v>52</v>
      </c>
      <c r="B18" s="179"/>
      <c r="C18" s="179"/>
      <c r="D18" s="179"/>
      <c r="E18" s="179"/>
      <c r="F18" s="179"/>
      <c r="G18" s="179"/>
      <c r="H18" s="179"/>
      <c r="I18" s="179"/>
      <c r="J18" s="179"/>
      <c r="K18" s="179"/>
      <c r="L18" s="179"/>
      <c r="M18" s="179"/>
      <c r="N18" s="179"/>
      <c r="O18" s="179"/>
      <c r="P18" s="179"/>
      <c r="Q18" s="179"/>
    </row>
    <row r="19" spans="1:20" ht="33.75" customHeight="1">
      <c r="A19" s="29" t="s">
        <v>407</v>
      </c>
      <c r="B19" s="29" t="s">
        <v>93</v>
      </c>
      <c r="C19" s="29" t="s">
        <v>198</v>
      </c>
      <c r="D19" s="29" t="s">
        <v>96</v>
      </c>
      <c r="E19" s="29" t="s">
        <v>199</v>
      </c>
      <c r="F19" s="29">
        <v>2016</v>
      </c>
      <c r="G19" s="29" t="s">
        <v>175</v>
      </c>
      <c r="H19" s="30">
        <v>2017</v>
      </c>
      <c r="I19" s="29" t="s">
        <v>175</v>
      </c>
      <c r="J19" s="29">
        <v>2018</v>
      </c>
      <c r="K19" s="29" t="s">
        <v>175</v>
      </c>
      <c r="L19" s="29">
        <v>2019</v>
      </c>
      <c r="M19" s="29" t="s">
        <v>175</v>
      </c>
      <c r="N19" s="29">
        <v>2020</v>
      </c>
      <c r="O19" s="29" t="s">
        <v>175</v>
      </c>
      <c r="P19" s="29" t="s">
        <v>442</v>
      </c>
      <c r="Q19" s="29" t="s">
        <v>200</v>
      </c>
    </row>
    <row r="20" spans="1:20" ht="85.5" customHeight="1">
      <c r="A20" s="233" t="s">
        <v>406</v>
      </c>
      <c r="B20" s="7">
        <v>993</v>
      </c>
      <c r="C20" s="89">
        <v>50000</v>
      </c>
      <c r="D20" s="7" t="s">
        <v>438</v>
      </c>
      <c r="E20" s="90" t="s">
        <v>202</v>
      </c>
      <c r="F20" s="91">
        <v>32348</v>
      </c>
      <c r="G20" s="38">
        <f t="shared" ref="G20:G32" si="0">+F20/C20</f>
        <v>0.64695999999999998</v>
      </c>
      <c r="H20" s="92"/>
      <c r="I20" s="38">
        <f>+H20/C20</f>
        <v>0</v>
      </c>
      <c r="J20" s="93"/>
      <c r="K20" s="38">
        <f>+J20/C20</f>
        <v>0</v>
      </c>
      <c r="L20" s="94"/>
      <c r="M20" s="38">
        <f>+L20/C20</f>
        <v>0</v>
      </c>
      <c r="N20" s="95"/>
      <c r="O20" s="96">
        <f>+N20/C20</f>
        <v>0</v>
      </c>
      <c r="P20" s="95">
        <f>+N20</f>
        <v>0</v>
      </c>
      <c r="Q20" s="38">
        <f>+MAX(G20,I20,K20,M20,O20)</f>
        <v>0.64695999999999998</v>
      </c>
      <c r="S20" s="161">
        <v>50000</v>
      </c>
      <c r="T20" s="172">
        <f t="shared" ref="T20:T33" si="1">+Q20:Q40</f>
        <v>0.64695999999999998</v>
      </c>
    </row>
    <row r="21" spans="1:20" ht="85.5" customHeight="1">
      <c r="A21" s="234"/>
      <c r="B21" s="7">
        <v>993</v>
      </c>
      <c r="C21" s="89">
        <v>31000</v>
      </c>
      <c r="D21" s="7" t="s">
        <v>439</v>
      </c>
      <c r="E21" s="90" t="s">
        <v>202</v>
      </c>
      <c r="F21" s="91">
        <v>14661</v>
      </c>
      <c r="G21" s="38">
        <f t="shared" si="0"/>
        <v>0.47293548387096773</v>
      </c>
      <c r="H21" s="92"/>
      <c r="I21" s="38">
        <f>+H21/C21</f>
        <v>0</v>
      </c>
      <c r="J21" s="93"/>
      <c r="K21" s="38">
        <f>+J21/C21</f>
        <v>0</v>
      </c>
      <c r="L21" s="94"/>
      <c r="M21" s="38">
        <f>+L21/C21</f>
        <v>0</v>
      </c>
      <c r="N21" s="95"/>
      <c r="O21" s="96">
        <f>+N21/C21</f>
        <v>0</v>
      </c>
      <c r="P21" s="95"/>
      <c r="Q21" s="38">
        <f>+MAX(G21,I21,K21,M21,O21)</f>
        <v>0.47293548387096773</v>
      </c>
      <c r="S21" s="161">
        <v>31000</v>
      </c>
      <c r="T21" s="172">
        <f t="shared" si="1"/>
        <v>0.47293548387096773</v>
      </c>
    </row>
    <row r="22" spans="1:20" ht="108.75" customHeight="1">
      <c r="A22" s="162" t="s">
        <v>408</v>
      </c>
      <c r="B22" s="7">
        <v>982</v>
      </c>
      <c r="C22" s="97">
        <v>272000</v>
      </c>
      <c r="D22" s="7" t="s">
        <v>416</v>
      </c>
      <c r="E22" s="7" t="s">
        <v>204</v>
      </c>
      <c r="F22" s="91">
        <v>49831</v>
      </c>
      <c r="G22" s="38">
        <f t="shared" si="0"/>
        <v>0.18320220588235295</v>
      </c>
      <c r="H22" s="92"/>
      <c r="I22" s="38">
        <f>+(H22)/C22</f>
        <v>0</v>
      </c>
      <c r="J22" s="93"/>
      <c r="K22" s="38">
        <f>(+J22+H22)/C22</f>
        <v>0</v>
      </c>
      <c r="L22" s="94"/>
      <c r="M22" s="38">
        <f>(L22+J22+H22)/C22</f>
        <v>0</v>
      </c>
      <c r="N22" s="95"/>
      <c r="O22" s="38">
        <f>+(N22+L22+J22+H22)/C22</f>
        <v>0</v>
      </c>
      <c r="P22" s="95"/>
      <c r="Q22" s="38">
        <f t="shared" ref="Q22:Q30" si="2">+SUM(G22,I22,K22,M22,O22)</f>
        <v>0.18320220588235295</v>
      </c>
      <c r="S22" s="161">
        <v>272000</v>
      </c>
      <c r="T22" s="172">
        <f t="shared" si="1"/>
        <v>0.18320220588235295</v>
      </c>
    </row>
    <row r="23" spans="1:20" ht="57" customHeight="1">
      <c r="A23" s="164" t="s">
        <v>409</v>
      </c>
      <c r="B23" s="7">
        <v>1000</v>
      </c>
      <c r="C23" s="97">
        <v>2150</v>
      </c>
      <c r="D23" s="7" t="s">
        <v>417</v>
      </c>
      <c r="E23" s="7" t="s">
        <v>204</v>
      </c>
      <c r="F23" s="91">
        <v>473</v>
      </c>
      <c r="G23" s="38">
        <f t="shared" si="0"/>
        <v>0.22</v>
      </c>
      <c r="H23" s="92"/>
      <c r="I23" s="38">
        <f t="shared" ref="I23:I30" si="3">+H23/C23</f>
        <v>0</v>
      </c>
      <c r="J23" s="93"/>
      <c r="K23" s="38">
        <f>+J23/C23</f>
        <v>0</v>
      </c>
      <c r="L23" s="94"/>
      <c r="M23" s="38">
        <f>+L23/C23</f>
        <v>0</v>
      </c>
      <c r="N23" s="95"/>
      <c r="O23" s="96">
        <f>+N23/C23</f>
        <v>0</v>
      </c>
      <c r="P23" s="95"/>
      <c r="Q23" s="38">
        <f t="shared" si="2"/>
        <v>0.22</v>
      </c>
      <c r="S23" s="161">
        <v>2150</v>
      </c>
      <c r="T23" s="172">
        <f t="shared" si="1"/>
        <v>0.22</v>
      </c>
    </row>
    <row r="24" spans="1:20" ht="114">
      <c r="A24" s="169" t="s">
        <v>410</v>
      </c>
      <c r="B24" s="7">
        <v>1000</v>
      </c>
      <c r="C24" s="97">
        <v>286</v>
      </c>
      <c r="D24" s="7" t="s">
        <v>418</v>
      </c>
      <c r="E24" s="98" t="s">
        <v>204</v>
      </c>
      <c r="F24" s="91">
        <v>45</v>
      </c>
      <c r="G24" s="38">
        <f t="shared" si="0"/>
        <v>0.15734265734265734</v>
      </c>
      <c r="H24" s="92"/>
      <c r="I24" s="38">
        <f t="shared" si="3"/>
        <v>0</v>
      </c>
      <c r="J24" s="93"/>
      <c r="K24" s="38">
        <f>(+J24+H24)/C24</f>
        <v>0</v>
      </c>
      <c r="L24" s="94"/>
      <c r="M24" s="38">
        <f>(L24+J24+H24)/C24</f>
        <v>0</v>
      </c>
      <c r="N24" s="95"/>
      <c r="O24" s="38">
        <f>+(N24+L24+J24+H24)/C24</f>
        <v>0</v>
      </c>
      <c r="P24" s="95">
        <f>+H24+J24+L24+N24</f>
        <v>0</v>
      </c>
      <c r="Q24" s="38">
        <f t="shared" si="2"/>
        <v>0.15734265734265734</v>
      </c>
      <c r="S24" s="161">
        <v>286</v>
      </c>
      <c r="T24" s="172">
        <f t="shared" si="1"/>
        <v>0.15734265734265734</v>
      </c>
    </row>
    <row r="25" spans="1:20" ht="45">
      <c r="A25" s="169" t="s">
        <v>430</v>
      </c>
      <c r="B25" s="166">
        <v>985</v>
      </c>
      <c r="C25" s="97">
        <v>40</v>
      </c>
      <c r="D25" s="7" t="s">
        <v>431</v>
      </c>
      <c r="E25" s="98" t="s">
        <v>204</v>
      </c>
      <c r="F25" s="91">
        <v>5</v>
      </c>
      <c r="G25" s="38">
        <f>+F25/C25</f>
        <v>0.125</v>
      </c>
      <c r="H25" s="92"/>
      <c r="I25" s="38">
        <f t="shared" si="3"/>
        <v>0</v>
      </c>
      <c r="J25" s="93"/>
      <c r="K25" s="38">
        <f>(+J25+H25)/C25</f>
        <v>0</v>
      </c>
      <c r="L25" s="94"/>
      <c r="M25" s="38">
        <f>(L25+J25+H25)/C25</f>
        <v>0</v>
      </c>
      <c r="N25" s="95"/>
      <c r="O25" s="38">
        <f>+(N25+L25+J25+H25)/C25</f>
        <v>0</v>
      </c>
      <c r="P25" s="95"/>
      <c r="Q25" s="38">
        <f t="shared" si="2"/>
        <v>0.125</v>
      </c>
      <c r="S25" s="161">
        <v>40</v>
      </c>
      <c r="T25" s="172">
        <f t="shared" si="1"/>
        <v>0.125</v>
      </c>
    </row>
    <row r="26" spans="1:20" ht="85.5">
      <c r="A26" s="168" t="s">
        <v>411</v>
      </c>
      <c r="B26" s="166">
        <v>985</v>
      </c>
      <c r="C26" s="97">
        <v>6</v>
      </c>
      <c r="D26" s="7" t="s">
        <v>419</v>
      </c>
      <c r="E26" s="98" t="s">
        <v>204</v>
      </c>
      <c r="F26" s="91">
        <v>0</v>
      </c>
      <c r="G26" s="38">
        <f t="shared" si="0"/>
        <v>0</v>
      </c>
      <c r="H26" s="92"/>
      <c r="I26" s="38">
        <f t="shared" si="3"/>
        <v>0</v>
      </c>
      <c r="J26" s="93"/>
      <c r="K26" s="38">
        <f>(+J26+H26)/C26</f>
        <v>0</v>
      </c>
      <c r="L26" s="94"/>
      <c r="M26" s="38">
        <f>(L26+J26+H26)/C26</f>
        <v>0</v>
      </c>
      <c r="N26" s="95">
        <f>+'Avance Acumulado Metas PDD'!K21</f>
        <v>0</v>
      </c>
      <c r="O26" s="96">
        <f>+(N26+L26+J26+H26)/C26</f>
        <v>0</v>
      </c>
      <c r="P26" s="95">
        <f>+F26+H26+J26+L26+N26</f>
        <v>0</v>
      </c>
      <c r="Q26" s="38">
        <f t="shared" si="2"/>
        <v>0</v>
      </c>
      <c r="S26" s="161">
        <v>6</v>
      </c>
      <c r="T26" s="172">
        <f t="shared" si="1"/>
        <v>0</v>
      </c>
    </row>
    <row r="27" spans="1:20" ht="101.25" customHeight="1">
      <c r="A27" s="235" t="s">
        <v>412</v>
      </c>
      <c r="B27" s="166">
        <v>999</v>
      </c>
      <c r="C27" s="97">
        <v>10</v>
      </c>
      <c r="D27" s="7" t="s">
        <v>421</v>
      </c>
      <c r="E27" s="7" t="s">
        <v>202</v>
      </c>
      <c r="F27" s="170">
        <v>0.9</v>
      </c>
      <c r="G27" s="38">
        <f>+F27/C27</f>
        <v>0.09</v>
      </c>
      <c r="H27" s="92">
        <v>0</v>
      </c>
      <c r="I27" s="38">
        <f t="shared" si="3"/>
        <v>0</v>
      </c>
      <c r="J27" s="99"/>
      <c r="K27" s="38">
        <f>+J27/C27</f>
        <v>0</v>
      </c>
      <c r="L27" s="100"/>
      <c r="M27" s="38">
        <f>+L27/C27</f>
        <v>0</v>
      </c>
      <c r="N27" s="101"/>
      <c r="O27" s="96">
        <f>+N27/C27</f>
        <v>0</v>
      </c>
      <c r="P27" s="101"/>
      <c r="Q27" s="38">
        <f>+MAX(G27,I27,K27,M27,O27)</f>
        <v>0.09</v>
      </c>
      <c r="S27" s="161">
        <v>10</v>
      </c>
      <c r="T27" s="172">
        <f t="shared" si="1"/>
        <v>0.09</v>
      </c>
    </row>
    <row r="28" spans="1:20" ht="101.25" customHeight="1">
      <c r="A28" s="236"/>
      <c r="B28" s="7">
        <v>999</v>
      </c>
      <c r="C28" s="89">
        <v>1900000</v>
      </c>
      <c r="D28" s="7" t="s">
        <v>432</v>
      </c>
      <c r="E28" s="7" t="s">
        <v>204</v>
      </c>
      <c r="F28" s="91">
        <v>249891</v>
      </c>
      <c r="G28" s="38">
        <f>+F28/C28</f>
        <v>0.13152157894736843</v>
      </c>
      <c r="H28" s="173"/>
      <c r="I28" s="38">
        <f t="shared" si="3"/>
        <v>0</v>
      </c>
      <c r="J28" s="93"/>
      <c r="K28" s="38">
        <f t="shared" ref="K28:K40" si="4">+J28/C28</f>
        <v>0</v>
      </c>
      <c r="L28" s="94"/>
      <c r="M28" s="38">
        <f t="shared" ref="M28:M40" si="5">+L28/C28</f>
        <v>0</v>
      </c>
      <c r="N28" s="95"/>
      <c r="O28" s="96">
        <f t="shared" ref="O28:O40" si="6">+N28/C28</f>
        <v>0</v>
      </c>
      <c r="P28" s="95"/>
      <c r="Q28" s="38">
        <f t="shared" si="2"/>
        <v>0.13152157894736843</v>
      </c>
      <c r="S28" s="161">
        <v>1900000</v>
      </c>
      <c r="T28" s="172">
        <f t="shared" si="1"/>
        <v>0.13152157894736843</v>
      </c>
    </row>
    <row r="29" spans="1:20" ht="126" customHeight="1">
      <c r="A29" s="236"/>
      <c r="B29" s="7">
        <v>996</v>
      </c>
      <c r="C29" s="89">
        <v>1600000</v>
      </c>
      <c r="D29" s="7" t="s">
        <v>424</v>
      </c>
      <c r="E29" s="7" t="s">
        <v>204</v>
      </c>
      <c r="F29" s="91">
        <v>282706</v>
      </c>
      <c r="G29" s="38">
        <f>+F29/C29</f>
        <v>0.17669124999999999</v>
      </c>
      <c r="H29" s="92"/>
      <c r="I29" s="38">
        <f t="shared" si="3"/>
        <v>0</v>
      </c>
      <c r="J29" s="93"/>
      <c r="K29" s="38">
        <f t="shared" si="4"/>
        <v>0</v>
      </c>
      <c r="L29" s="94"/>
      <c r="M29" s="38">
        <f t="shared" si="5"/>
        <v>0</v>
      </c>
      <c r="N29" s="95"/>
      <c r="O29" s="96">
        <f t="shared" si="6"/>
        <v>0</v>
      </c>
      <c r="P29" s="95"/>
      <c r="Q29" s="38">
        <f t="shared" si="2"/>
        <v>0.17669124999999999</v>
      </c>
      <c r="S29" s="161">
        <v>1600000</v>
      </c>
      <c r="T29" s="172">
        <f t="shared" si="1"/>
        <v>0.17669124999999999</v>
      </c>
    </row>
    <row r="30" spans="1:20" ht="101.25" customHeight="1">
      <c r="A30" s="236"/>
      <c r="B30" s="7">
        <v>996</v>
      </c>
      <c r="C30" s="89">
        <v>22077</v>
      </c>
      <c r="D30" s="7" t="s">
        <v>425</v>
      </c>
      <c r="E30" s="7" t="s">
        <v>204</v>
      </c>
      <c r="F30" s="91">
        <v>4737</v>
      </c>
      <c r="G30" s="38">
        <f>+F30/C30</f>
        <v>0.21456719662997689</v>
      </c>
      <c r="H30" s="92"/>
      <c r="I30" s="38">
        <f t="shared" si="3"/>
        <v>0</v>
      </c>
      <c r="J30" s="93"/>
      <c r="K30" s="38">
        <f t="shared" si="4"/>
        <v>0</v>
      </c>
      <c r="L30" s="94"/>
      <c r="M30" s="38">
        <f t="shared" si="5"/>
        <v>0</v>
      </c>
      <c r="N30" s="95"/>
      <c r="O30" s="96">
        <f t="shared" si="6"/>
        <v>0</v>
      </c>
      <c r="P30" s="95"/>
      <c r="Q30" s="38">
        <f t="shared" si="2"/>
        <v>0.21456719662997689</v>
      </c>
      <c r="S30" s="161">
        <v>22077</v>
      </c>
      <c r="T30" s="172">
        <f t="shared" si="1"/>
        <v>0.21456719662997689</v>
      </c>
    </row>
    <row r="31" spans="1:20" ht="101.25" customHeight="1">
      <c r="A31" s="237"/>
      <c r="B31" s="7">
        <v>1010</v>
      </c>
      <c r="C31" s="97">
        <v>12</v>
      </c>
      <c r="D31" s="7" t="s">
        <v>423</v>
      </c>
      <c r="E31" s="7" t="s">
        <v>202</v>
      </c>
      <c r="F31" s="91">
        <v>9</v>
      </c>
      <c r="G31" s="38">
        <f>+F31/C31</f>
        <v>0.75</v>
      </c>
      <c r="H31" s="57"/>
      <c r="I31" s="38">
        <f t="shared" ref="I31:I40" si="7">+H31/C31</f>
        <v>0</v>
      </c>
      <c r="J31" s="99"/>
      <c r="K31" s="38">
        <f t="shared" si="4"/>
        <v>0</v>
      </c>
      <c r="L31" s="100"/>
      <c r="M31" s="38">
        <f t="shared" si="5"/>
        <v>0</v>
      </c>
      <c r="N31" s="101"/>
      <c r="O31" s="96">
        <f t="shared" si="6"/>
        <v>0</v>
      </c>
      <c r="P31" s="101"/>
      <c r="Q31" s="38">
        <f>+MAX(G31,I31,K31,M31,O31)</f>
        <v>0.75</v>
      </c>
      <c r="S31" s="161">
        <v>12</v>
      </c>
      <c r="T31" s="172">
        <f t="shared" si="1"/>
        <v>0.75</v>
      </c>
    </row>
    <row r="32" spans="1:20" ht="71.25">
      <c r="A32" s="167" t="s">
        <v>413</v>
      </c>
      <c r="B32" s="7">
        <v>1010</v>
      </c>
      <c r="C32" s="97">
        <v>2</v>
      </c>
      <c r="D32" s="7" t="s">
        <v>422</v>
      </c>
      <c r="E32" s="7" t="s">
        <v>202</v>
      </c>
      <c r="F32" s="163">
        <v>0.57999999999999996</v>
      </c>
      <c r="G32" s="38">
        <f t="shared" si="0"/>
        <v>0.28999999999999998</v>
      </c>
      <c r="H32" s="57"/>
      <c r="I32" s="38">
        <f t="shared" si="7"/>
        <v>0</v>
      </c>
      <c r="J32" s="99"/>
      <c r="K32" s="38">
        <f t="shared" si="4"/>
        <v>0</v>
      </c>
      <c r="L32" s="100"/>
      <c r="M32" s="38">
        <f t="shared" si="5"/>
        <v>0</v>
      </c>
      <c r="N32" s="101"/>
      <c r="O32" s="96">
        <f t="shared" si="6"/>
        <v>0</v>
      </c>
      <c r="P32" s="101"/>
      <c r="Q32" s="38">
        <f>+MAX(G32,I32,K32,M32,O32)</f>
        <v>0.28999999999999998</v>
      </c>
      <c r="S32" s="161">
        <v>2</v>
      </c>
      <c r="T32" s="172">
        <f t="shared" si="1"/>
        <v>0.28999999999999998</v>
      </c>
    </row>
    <row r="33" spans="1:20" ht="111.75" customHeight="1">
      <c r="A33" s="238" t="s">
        <v>414</v>
      </c>
      <c r="B33" s="166">
        <v>999</v>
      </c>
      <c r="C33" s="97">
        <v>14</v>
      </c>
      <c r="D33" s="7" t="s">
        <v>420</v>
      </c>
      <c r="E33" s="7" t="s">
        <v>202</v>
      </c>
      <c r="F33" s="91">
        <v>10</v>
      </c>
      <c r="G33" s="38">
        <f t="shared" ref="G33:G40" si="8">+F33/C33</f>
        <v>0.7142857142857143</v>
      </c>
      <c r="H33" s="92"/>
      <c r="I33" s="38">
        <f t="shared" si="7"/>
        <v>0</v>
      </c>
      <c r="J33" s="93"/>
      <c r="K33" s="38">
        <f t="shared" si="4"/>
        <v>0</v>
      </c>
      <c r="L33" s="94"/>
      <c r="M33" s="38">
        <f t="shared" si="5"/>
        <v>0</v>
      </c>
      <c r="N33" s="95"/>
      <c r="O33" s="96">
        <f t="shared" si="6"/>
        <v>0</v>
      </c>
      <c r="P33" s="95"/>
      <c r="Q33" s="38">
        <f>+MAX(G33,I33,K33,M33,O33)</f>
        <v>0.7142857142857143</v>
      </c>
      <c r="S33" s="161">
        <v>14</v>
      </c>
      <c r="T33" s="172">
        <f t="shared" si="1"/>
        <v>0.7142857142857143</v>
      </c>
    </row>
    <row r="34" spans="1:20" ht="111.75" customHeight="1">
      <c r="A34" s="239"/>
      <c r="B34" s="7">
        <v>999</v>
      </c>
      <c r="C34" s="89">
        <v>5600</v>
      </c>
      <c r="D34" s="7" t="s">
        <v>433</v>
      </c>
      <c r="E34" s="7" t="s">
        <v>204</v>
      </c>
      <c r="F34" s="91">
        <v>963</v>
      </c>
      <c r="G34" s="38">
        <f t="shared" si="8"/>
        <v>0.17196428571428571</v>
      </c>
      <c r="H34" s="92"/>
      <c r="I34" s="38">
        <f>+H34/C34</f>
        <v>0</v>
      </c>
      <c r="J34" s="93"/>
      <c r="K34" s="38">
        <f>+J34/C34</f>
        <v>0</v>
      </c>
      <c r="L34" s="94"/>
      <c r="M34" s="38">
        <f>+L34/C34</f>
        <v>0</v>
      </c>
      <c r="N34" s="95"/>
      <c r="O34" s="96">
        <f>+N34/C34</f>
        <v>0</v>
      </c>
      <c r="P34" s="95"/>
      <c r="Q34" s="38">
        <f t="shared" ref="Q34:Q39" si="9">+SUM(G34,I34,K34,M34,O34)</f>
        <v>0.17196428571428571</v>
      </c>
      <c r="S34" s="161"/>
      <c r="T34" s="172"/>
    </row>
    <row r="35" spans="1:20" ht="100.5" customHeight="1">
      <c r="A35" s="239"/>
      <c r="B35" s="7">
        <v>1017</v>
      </c>
      <c r="C35" s="89">
        <v>10</v>
      </c>
      <c r="D35" s="7" t="s">
        <v>434</v>
      </c>
      <c r="E35" s="7" t="s">
        <v>204</v>
      </c>
      <c r="F35" s="91">
        <v>1</v>
      </c>
      <c r="G35" s="38">
        <f t="shared" si="8"/>
        <v>0.1</v>
      </c>
      <c r="H35" s="92"/>
      <c r="I35" s="38">
        <f t="shared" si="7"/>
        <v>0</v>
      </c>
      <c r="J35" s="93"/>
      <c r="K35" s="38">
        <f t="shared" si="4"/>
        <v>0</v>
      </c>
      <c r="L35" s="94"/>
      <c r="M35" s="38">
        <f t="shared" si="5"/>
        <v>0</v>
      </c>
      <c r="N35" s="95"/>
      <c r="O35" s="96">
        <f t="shared" si="6"/>
        <v>0</v>
      </c>
      <c r="P35" s="95"/>
      <c r="Q35" s="38">
        <f t="shared" si="9"/>
        <v>0.1</v>
      </c>
      <c r="S35" s="161">
        <v>10</v>
      </c>
      <c r="T35" s="172">
        <f>+Q35:Q54</f>
        <v>0.1</v>
      </c>
    </row>
    <row r="36" spans="1:20" ht="100.5" customHeight="1">
      <c r="A36" s="239"/>
      <c r="B36" s="7">
        <v>1017</v>
      </c>
      <c r="C36" s="89">
        <v>70</v>
      </c>
      <c r="D36" s="7" t="s">
        <v>435</v>
      </c>
      <c r="E36" s="7" t="s">
        <v>204</v>
      </c>
      <c r="F36" s="91">
        <v>5</v>
      </c>
      <c r="G36" s="38">
        <f t="shared" si="8"/>
        <v>7.1428571428571425E-2</v>
      </c>
      <c r="H36" s="92"/>
      <c r="I36" s="38">
        <f t="shared" si="7"/>
        <v>0</v>
      </c>
      <c r="J36" s="93"/>
      <c r="K36" s="38">
        <f t="shared" si="4"/>
        <v>0</v>
      </c>
      <c r="L36" s="94"/>
      <c r="M36" s="38">
        <f t="shared" si="5"/>
        <v>0</v>
      </c>
      <c r="N36" s="95"/>
      <c r="O36" s="96">
        <f t="shared" si="6"/>
        <v>0</v>
      </c>
      <c r="P36" s="95"/>
      <c r="Q36" s="38">
        <f t="shared" si="9"/>
        <v>7.1428571428571425E-2</v>
      </c>
      <c r="S36" s="161">
        <v>70</v>
      </c>
      <c r="T36" s="172">
        <f>+Q36:Q55</f>
        <v>7.1428571428571425E-2</v>
      </c>
    </row>
    <row r="37" spans="1:20" ht="85.5">
      <c r="A37" s="239"/>
      <c r="B37" s="7">
        <v>1017</v>
      </c>
      <c r="C37" s="89">
        <v>2900000</v>
      </c>
      <c r="D37" s="7" t="s">
        <v>426</v>
      </c>
      <c r="E37" s="7" t="s">
        <v>204</v>
      </c>
      <c r="F37" s="91">
        <v>792143</v>
      </c>
      <c r="G37" s="38">
        <f t="shared" si="8"/>
        <v>0.27315275862068966</v>
      </c>
      <c r="H37" s="92"/>
      <c r="I37" s="38">
        <f t="shared" si="7"/>
        <v>0</v>
      </c>
      <c r="J37" s="93"/>
      <c r="K37" s="38">
        <f t="shared" si="4"/>
        <v>0</v>
      </c>
      <c r="L37" s="94"/>
      <c r="M37" s="38">
        <f t="shared" si="5"/>
        <v>0</v>
      </c>
      <c r="N37" s="95"/>
      <c r="O37" s="96">
        <f t="shared" si="6"/>
        <v>0</v>
      </c>
      <c r="P37" s="95"/>
      <c r="Q37" s="38">
        <f t="shared" si="9"/>
        <v>0.27315275862068966</v>
      </c>
      <c r="S37" s="161">
        <v>2900000</v>
      </c>
      <c r="T37" s="172">
        <f>+Q37:Q57</f>
        <v>0.27315275862068966</v>
      </c>
    </row>
    <row r="38" spans="1:20" ht="99.75" customHeight="1">
      <c r="A38" s="239"/>
      <c r="B38" s="7">
        <v>1017</v>
      </c>
      <c r="C38" s="89">
        <v>55500</v>
      </c>
      <c r="D38" s="7" t="s">
        <v>427</v>
      </c>
      <c r="E38" s="7" t="s">
        <v>204</v>
      </c>
      <c r="F38" s="91">
        <v>8540</v>
      </c>
      <c r="G38" s="38">
        <f t="shared" si="8"/>
        <v>0.15387387387387388</v>
      </c>
      <c r="H38" s="92"/>
      <c r="I38" s="38">
        <f t="shared" si="7"/>
        <v>0</v>
      </c>
      <c r="J38" s="102"/>
      <c r="K38" s="38">
        <f t="shared" si="4"/>
        <v>0</v>
      </c>
      <c r="L38" s="94"/>
      <c r="M38" s="38">
        <f t="shared" si="5"/>
        <v>0</v>
      </c>
      <c r="N38" s="95"/>
      <c r="O38" s="96">
        <f t="shared" si="6"/>
        <v>0</v>
      </c>
      <c r="P38" s="95"/>
      <c r="Q38" s="38">
        <f t="shared" si="9"/>
        <v>0.15387387387387388</v>
      </c>
      <c r="S38" s="161">
        <v>55500</v>
      </c>
      <c r="T38" s="172">
        <f>+Q38:Q58</f>
        <v>0.15387387387387388</v>
      </c>
    </row>
    <row r="39" spans="1:20" ht="161.25" customHeight="1">
      <c r="A39" s="240"/>
      <c r="B39" s="7">
        <v>1017</v>
      </c>
      <c r="C39" s="89">
        <v>4760</v>
      </c>
      <c r="D39" s="7" t="s">
        <v>428</v>
      </c>
      <c r="E39" s="7" t="s">
        <v>204</v>
      </c>
      <c r="F39" s="91">
        <v>728</v>
      </c>
      <c r="G39" s="38">
        <f t="shared" si="8"/>
        <v>0.15294117647058825</v>
      </c>
      <c r="H39" s="92"/>
      <c r="I39" s="38">
        <f t="shared" si="7"/>
        <v>0</v>
      </c>
      <c r="J39" s="99"/>
      <c r="K39" s="38">
        <f t="shared" si="4"/>
        <v>0</v>
      </c>
      <c r="L39" s="100"/>
      <c r="M39" s="38">
        <f t="shared" si="5"/>
        <v>0</v>
      </c>
      <c r="N39" s="101"/>
      <c r="O39" s="96">
        <f t="shared" si="6"/>
        <v>0</v>
      </c>
      <c r="P39" s="101"/>
      <c r="Q39" s="38">
        <f t="shared" si="9"/>
        <v>0.15294117647058825</v>
      </c>
      <c r="S39" s="161">
        <v>4760</v>
      </c>
      <c r="T39" s="172">
        <f>+Q39:Q59</f>
        <v>0.15294117647058825</v>
      </c>
    </row>
    <row r="40" spans="1:20" ht="71.25">
      <c r="A40" s="7" t="s">
        <v>415</v>
      </c>
      <c r="B40" s="7">
        <v>998</v>
      </c>
      <c r="C40" s="165">
        <v>0.9</v>
      </c>
      <c r="D40" s="7" t="s">
        <v>429</v>
      </c>
      <c r="E40" s="7" t="s">
        <v>202</v>
      </c>
      <c r="F40" s="171">
        <v>0.85</v>
      </c>
      <c r="G40" s="38">
        <f t="shared" si="8"/>
        <v>0.94444444444444442</v>
      </c>
      <c r="H40" s="48"/>
      <c r="I40" s="38">
        <f t="shared" si="7"/>
        <v>0</v>
      </c>
      <c r="J40" s="102"/>
      <c r="K40" s="38">
        <f t="shared" si="4"/>
        <v>0</v>
      </c>
      <c r="L40" s="94"/>
      <c r="M40" s="38">
        <f t="shared" si="5"/>
        <v>0</v>
      </c>
      <c r="N40" s="95"/>
      <c r="O40" s="96">
        <f t="shared" si="6"/>
        <v>0</v>
      </c>
      <c r="P40" s="95"/>
      <c r="Q40" s="38">
        <f>+MAX(G40,I40,K40,M40,O40)</f>
        <v>0.94444444444444442</v>
      </c>
      <c r="S40" s="161">
        <v>0.9</v>
      </c>
      <c r="T40" s="172">
        <f>+Q40:Q60</f>
        <v>0.94444444444444442</v>
      </c>
    </row>
    <row r="41" spans="1:20" ht="18" customHeight="1">
      <c r="A41" s="7" t="s">
        <v>166</v>
      </c>
      <c r="B41" s="7"/>
      <c r="C41" s="7"/>
      <c r="D41"/>
      <c r="E41"/>
      <c r="F41" s="40"/>
      <c r="G41" s="40">
        <f>+SUM(G20:G40)/21</f>
        <v>0.28763386654816625</v>
      </c>
      <c r="H41" s="40"/>
      <c r="I41" s="40">
        <f>+SUM(I20:I40)/21</f>
        <v>0</v>
      </c>
      <c r="J41" s="40"/>
      <c r="K41" s="40">
        <f>+SUM(K20:K40)/21</f>
        <v>0</v>
      </c>
      <c r="L41" s="40"/>
      <c r="M41" s="40">
        <f>+SUM(M20:M40)/21</f>
        <v>0</v>
      </c>
      <c r="N41" s="38"/>
      <c r="O41" s="40">
        <f>+SUM(O20:O40)/21</f>
        <v>0</v>
      </c>
      <c r="P41" s="103"/>
      <c r="Q41" s="40">
        <f>+SUM(Q20:Q40)/21</f>
        <v>0.28763386654816625</v>
      </c>
    </row>
    <row r="42" spans="1:20" ht="21" customHeight="1">
      <c r="A42" s="7" t="s">
        <v>221</v>
      </c>
      <c r="B42" s="7"/>
      <c r="C42" s="7"/>
      <c r="D42" s="7"/>
      <c r="E42" s="7"/>
      <c r="F42" s="104"/>
      <c r="G42" s="104">
        <f>+G41/0.125</f>
        <v>2.30107093238533</v>
      </c>
      <c r="H42" s="40"/>
      <c r="I42" s="45">
        <f>+I41/0.375</f>
        <v>0</v>
      </c>
      <c r="J42" s="45"/>
      <c r="K42" s="45">
        <f>+K41/0.625</f>
        <v>0</v>
      </c>
      <c r="L42" s="45"/>
      <c r="M42" s="45">
        <f>+M41/0.875</f>
        <v>0</v>
      </c>
      <c r="N42" s="33"/>
      <c r="O42" s="45">
        <f>+O41/1</f>
        <v>0</v>
      </c>
      <c r="P42" s="202"/>
      <c r="Q42" s="202"/>
    </row>
    <row r="43" spans="1:20" s="15" customFormat="1" ht="12.75" customHeight="1">
      <c r="A43" s="13"/>
      <c r="B43" s="13"/>
      <c r="C43" s="13"/>
      <c r="D43" s="13"/>
      <c r="E43" s="13"/>
      <c r="F43" s="14">
        <v>0.8</v>
      </c>
      <c r="G43" s="14"/>
      <c r="H43" s="14"/>
      <c r="I43" s="14">
        <v>0.8</v>
      </c>
      <c r="J43" s="14">
        <v>0.8</v>
      </c>
      <c r="K43" s="14">
        <v>0.8</v>
      </c>
      <c r="L43" s="14">
        <v>0.8</v>
      </c>
      <c r="M43" s="14">
        <v>0.8</v>
      </c>
      <c r="N43" s="14"/>
      <c r="O43" s="14"/>
      <c r="P43" s="202"/>
      <c r="Q43" s="202"/>
    </row>
    <row r="44" spans="1:20" ht="37.9" customHeight="1">
      <c r="A44" s="179" t="s">
        <v>76</v>
      </c>
      <c r="B44" s="179"/>
      <c r="C44" s="179"/>
      <c r="D44" s="179"/>
      <c r="E44" s="179"/>
      <c r="F44" s="179"/>
      <c r="G44" s="179"/>
      <c r="H44" s="179"/>
      <c r="I44" s="179"/>
      <c r="J44" s="179"/>
      <c r="K44" s="179"/>
      <c r="L44" s="179"/>
      <c r="M44" s="179"/>
      <c r="N44" s="179"/>
      <c r="O44" s="179"/>
      <c r="P44" s="179"/>
      <c r="Q44" s="179"/>
    </row>
    <row r="45" spans="1:20" ht="47.1" customHeight="1">
      <c r="A45" s="231" t="s">
        <v>440</v>
      </c>
      <c r="B45" s="231"/>
      <c r="C45" s="231"/>
      <c r="D45" s="231"/>
      <c r="E45" s="231"/>
      <c r="F45" s="231"/>
      <c r="G45" s="231"/>
      <c r="H45" s="231"/>
      <c r="I45" s="231"/>
      <c r="J45" s="231"/>
      <c r="K45" s="231"/>
      <c r="L45" s="105"/>
      <c r="M45" s="18"/>
      <c r="N45" s="18"/>
      <c r="O45" s="18"/>
      <c r="P45" s="18"/>
      <c r="Q45" s="19"/>
    </row>
    <row r="46" spans="1:20" ht="47.1" customHeight="1">
      <c r="A46" s="231"/>
      <c r="B46" s="231"/>
      <c r="C46" s="231"/>
      <c r="D46" s="231"/>
      <c r="E46" s="231"/>
      <c r="F46" s="231"/>
      <c r="G46" s="231"/>
      <c r="H46" s="231"/>
      <c r="I46" s="231"/>
      <c r="J46" s="231"/>
      <c r="K46" s="231"/>
      <c r="L46" s="106"/>
      <c r="M46" s="22"/>
      <c r="N46" s="22"/>
      <c r="O46" s="22"/>
      <c r="P46" s="22"/>
      <c r="Q46" s="23"/>
    </row>
    <row r="47" spans="1:20" ht="47.1" customHeight="1">
      <c r="A47" s="231"/>
      <c r="B47" s="231"/>
      <c r="C47" s="231"/>
      <c r="D47" s="231"/>
      <c r="E47" s="231"/>
      <c r="F47" s="231"/>
      <c r="G47" s="231"/>
      <c r="H47" s="231"/>
      <c r="I47" s="231"/>
      <c r="J47" s="231"/>
      <c r="K47" s="231"/>
      <c r="L47" s="106"/>
      <c r="M47" s="22"/>
      <c r="N47" s="22"/>
      <c r="O47" s="22"/>
      <c r="P47" s="22"/>
      <c r="Q47" s="23"/>
    </row>
    <row r="48" spans="1:20" ht="47.1" customHeight="1">
      <c r="A48" s="231"/>
      <c r="B48" s="231"/>
      <c r="C48" s="231"/>
      <c r="D48" s="231"/>
      <c r="E48" s="231"/>
      <c r="F48" s="231"/>
      <c r="G48" s="231"/>
      <c r="H48" s="231"/>
      <c r="I48" s="231"/>
      <c r="J48" s="231"/>
      <c r="K48" s="231"/>
      <c r="L48" s="106"/>
      <c r="M48" s="22"/>
      <c r="N48" s="22"/>
      <c r="O48" s="22"/>
      <c r="P48" s="22"/>
      <c r="Q48" s="23"/>
    </row>
    <row r="49" spans="1:19" ht="47.1" customHeight="1">
      <c r="A49" s="231"/>
      <c r="B49" s="231"/>
      <c r="C49" s="231"/>
      <c r="D49" s="231"/>
      <c r="E49" s="231"/>
      <c r="F49" s="231"/>
      <c r="G49" s="231"/>
      <c r="H49" s="231"/>
      <c r="I49" s="231"/>
      <c r="J49" s="231"/>
      <c r="K49" s="231"/>
      <c r="L49" s="106"/>
      <c r="M49" s="22"/>
      <c r="N49" s="22"/>
      <c r="O49" s="22"/>
      <c r="P49" s="22"/>
      <c r="Q49" s="23"/>
    </row>
    <row r="50" spans="1:19" ht="47.1" customHeight="1">
      <c r="A50" s="231"/>
      <c r="B50" s="231"/>
      <c r="C50" s="231"/>
      <c r="D50" s="231"/>
      <c r="E50" s="231"/>
      <c r="F50" s="231"/>
      <c r="G50" s="231"/>
      <c r="H50" s="231"/>
      <c r="I50" s="231"/>
      <c r="J50" s="231"/>
      <c r="K50" s="231"/>
      <c r="L50" s="106"/>
      <c r="M50" s="22"/>
      <c r="N50" s="22"/>
      <c r="O50" s="22"/>
      <c r="P50" s="22"/>
      <c r="Q50" s="23"/>
    </row>
    <row r="51" spans="1:19" ht="47.1" customHeight="1">
      <c r="A51" s="231"/>
      <c r="B51" s="231"/>
      <c r="C51" s="231"/>
      <c r="D51" s="231"/>
      <c r="E51" s="231"/>
      <c r="F51" s="231"/>
      <c r="G51" s="231"/>
      <c r="H51" s="231"/>
      <c r="I51" s="231"/>
      <c r="J51" s="231"/>
      <c r="K51" s="231"/>
      <c r="L51" s="106"/>
      <c r="M51" s="22"/>
      <c r="N51" s="22"/>
      <c r="O51" s="22"/>
      <c r="P51" s="22"/>
      <c r="Q51" s="23"/>
    </row>
    <row r="52" spans="1:19" ht="79.5" customHeight="1">
      <c r="A52" s="231"/>
      <c r="B52" s="231"/>
      <c r="C52" s="231"/>
      <c r="D52" s="231"/>
      <c r="E52" s="231"/>
      <c r="F52" s="231"/>
      <c r="G52" s="231"/>
      <c r="H52" s="231"/>
      <c r="I52" s="231"/>
      <c r="J52" s="231"/>
      <c r="K52" s="231"/>
      <c r="L52" s="107"/>
      <c r="M52" s="26"/>
      <c r="N52" s="26"/>
      <c r="O52" s="26"/>
      <c r="P52" s="26"/>
      <c r="Q52" s="27"/>
    </row>
    <row r="53" spans="1:19" ht="28.15" customHeight="1">
      <c r="A53" s="231"/>
      <c r="B53" s="231"/>
      <c r="C53" s="231"/>
      <c r="D53" s="231"/>
      <c r="E53" s="231"/>
      <c r="F53" s="231"/>
      <c r="G53" s="231"/>
      <c r="H53" s="231"/>
      <c r="I53" s="231"/>
      <c r="J53" s="231"/>
      <c r="K53" s="231"/>
      <c r="L53" s="200" t="s">
        <v>77</v>
      </c>
      <c r="M53" s="200"/>
      <c r="N53" s="200"/>
      <c r="O53" s="200"/>
      <c r="P53" s="200"/>
      <c r="Q53" s="200"/>
    </row>
    <row r="54" spans="1:19" ht="47.1" customHeight="1">
      <c r="A54" s="231"/>
      <c r="B54" s="231"/>
      <c r="C54" s="231"/>
      <c r="D54" s="231"/>
      <c r="E54" s="231"/>
      <c r="F54" s="231"/>
      <c r="G54" s="231"/>
      <c r="H54" s="231"/>
      <c r="I54" s="231"/>
      <c r="J54" s="231"/>
      <c r="K54" s="231"/>
      <c r="L54" s="200" t="s">
        <v>78</v>
      </c>
      <c r="M54" s="200"/>
      <c r="N54" s="200"/>
      <c r="O54" s="200"/>
      <c r="P54" s="200"/>
      <c r="Q54" s="75"/>
    </row>
    <row r="55" spans="1:19" ht="47.1" customHeight="1">
      <c r="A55" s="231"/>
      <c r="B55" s="231"/>
      <c r="C55" s="231"/>
      <c r="D55" s="231"/>
      <c r="E55" s="231"/>
      <c r="F55" s="231"/>
      <c r="G55" s="231"/>
      <c r="H55" s="231"/>
      <c r="I55" s="231"/>
      <c r="J55" s="231"/>
      <c r="K55" s="231"/>
      <c r="L55" s="200" t="s">
        <v>79</v>
      </c>
      <c r="M55" s="200"/>
      <c r="N55" s="200"/>
      <c r="O55" s="200"/>
      <c r="P55" s="200"/>
      <c r="Q55" s="75"/>
      <c r="S55"/>
    </row>
    <row r="56" spans="1:19" ht="47.1" customHeight="1">
      <c r="A56" s="231"/>
      <c r="B56" s="231"/>
      <c r="C56" s="231"/>
      <c r="D56" s="231"/>
      <c r="E56" s="231"/>
      <c r="F56" s="231"/>
      <c r="G56" s="231"/>
      <c r="H56" s="231"/>
      <c r="I56" s="231"/>
      <c r="J56" s="231"/>
      <c r="K56" s="231"/>
      <c r="L56" s="200" t="s">
        <v>80</v>
      </c>
      <c r="M56" s="200"/>
      <c r="N56" s="200"/>
      <c r="O56" s="200"/>
      <c r="P56" s="200"/>
      <c r="Q56" s="75"/>
      <c r="S56"/>
    </row>
    <row r="57" spans="1:19" ht="47.1" customHeight="1">
      <c r="A57" s="231"/>
      <c r="B57" s="231"/>
      <c r="C57" s="231"/>
      <c r="D57" s="231"/>
      <c r="E57" s="231"/>
      <c r="F57" s="231"/>
      <c r="G57" s="231"/>
      <c r="H57" s="231"/>
      <c r="I57" s="231"/>
      <c r="J57" s="231"/>
      <c r="K57" s="231"/>
      <c r="L57" s="200" t="s">
        <v>82</v>
      </c>
      <c r="M57" s="200"/>
      <c r="N57" s="200"/>
      <c r="O57" s="200"/>
      <c r="P57" s="200"/>
      <c r="Q57" s="36" t="s">
        <v>81</v>
      </c>
      <c r="S57"/>
    </row>
    <row r="58" spans="1:19" ht="47.1" customHeight="1">
      <c r="A58" s="231"/>
      <c r="B58" s="231"/>
      <c r="C58" s="231"/>
      <c r="D58" s="231"/>
      <c r="E58" s="231"/>
      <c r="F58" s="231"/>
      <c r="G58" s="231"/>
      <c r="H58" s="231"/>
      <c r="I58" s="231"/>
      <c r="J58" s="231"/>
      <c r="K58" s="231"/>
      <c r="L58" s="200" t="s">
        <v>83</v>
      </c>
      <c r="M58" s="200"/>
      <c r="N58" s="200"/>
      <c r="O58" s="200"/>
      <c r="P58" s="200"/>
      <c r="Q58" s="75"/>
      <c r="S58"/>
    </row>
    <row r="59" spans="1:19" ht="47.1" customHeight="1">
      <c r="A59" s="231"/>
      <c r="B59" s="231"/>
      <c r="C59" s="231"/>
      <c r="D59" s="231"/>
      <c r="E59" s="231"/>
      <c r="F59" s="231"/>
      <c r="G59" s="231"/>
      <c r="H59" s="231"/>
      <c r="I59" s="231"/>
      <c r="J59" s="231"/>
      <c r="K59" s="231"/>
      <c r="L59" s="200" t="s">
        <v>84</v>
      </c>
      <c r="M59" s="200"/>
      <c r="N59" s="200"/>
      <c r="O59" s="200"/>
      <c r="P59" s="200"/>
      <c r="Q59" s="200"/>
    </row>
    <row r="60" spans="1:19" ht="47.1" customHeight="1">
      <c r="A60" s="231"/>
      <c r="B60" s="231"/>
      <c r="C60" s="231"/>
      <c r="D60" s="231"/>
      <c r="E60" s="231"/>
      <c r="F60" s="231"/>
      <c r="G60" s="231"/>
      <c r="H60" s="231"/>
      <c r="I60" s="231"/>
      <c r="J60" s="231"/>
      <c r="K60" s="231"/>
      <c r="L60" s="178" t="s">
        <v>49</v>
      </c>
      <c r="M60" s="178"/>
      <c r="N60" s="178"/>
      <c r="O60" s="178"/>
      <c r="P60" s="178"/>
      <c r="Q60" s="178"/>
    </row>
    <row r="61" spans="1:19" ht="47.1" customHeight="1">
      <c r="A61" s="231"/>
      <c r="B61" s="231"/>
      <c r="C61" s="231"/>
      <c r="D61" s="231"/>
      <c r="E61" s="231"/>
      <c r="F61" s="231"/>
      <c r="G61" s="231"/>
      <c r="H61" s="231"/>
      <c r="I61" s="231"/>
      <c r="J61" s="231"/>
      <c r="K61" s="231"/>
      <c r="L61" s="178" t="s">
        <v>51</v>
      </c>
      <c r="M61" s="178"/>
      <c r="N61" s="178"/>
      <c r="O61" s="178"/>
      <c r="P61" s="178"/>
      <c r="Q61" s="178"/>
    </row>
    <row r="62" spans="1:19" ht="47.25" customHeight="1">
      <c r="A62" s="231"/>
      <c r="B62" s="231"/>
      <c r="C62" s="231"/>
      <c r="D62" s="231"/>
      <c r="E62" s="231"/>
      <c r="F62" s="231"/>
      <c r="G62" s="231"/>
      <c r="H62" s="231"/>
      <c r="I62" s="231"/>
      <c r="J62" s="231"/>
      <c r="K62" s="231"/>
      <c r="L62" s="200" t="s">
        <v>85</v>
      </c>
      <c r="M62" s="200"/>
      <c r="N62" s="36">
        <v>31</v>
      </c>
      <c r="O62" s="36">
        <v>12</v>
      </c>
      <c r="P62" s="232">
        <v>2015</v>
      </c>
      <c r="Q62" s="232"/>
    </row>
    <row r="63" spans="1:19" ht="47.25" customHeight="1">
      <c r="A63" s="231"/>
      <c r="B63" s="231"/>
      <c r="C63" s="231"/>
      <c r="D63" s="231"/>
      <c r="E63" s="231"/>
      <c r="F63" s="231"/>
      <c r="G63" s="231"/>
      <c r="H63" s="231"/>
      <c r="I63" s="231"/>
      <c r="J63" s="231"/>
      <c r="K63" s="231"/>
      <c r="L63" s="200" t="s">
        <v>86</v>
      </c>
      <c r="M63" s="200"/>
      <c r="N63" s="36">
        <v>22</v>
      </c>
      <c r="O63" s="36">
        <v>2</v>
      </c>
      <c r="P63" s="232">
        <v>2016</v>
      </c>
      <c r="Q63" s="232"/>
    </row>
    <row r="64" spans="1:19" ht="26.85" customHeight="1">
      <c r="A64" s="231"/>
      <c r="B64" s="231"/>
      <c r="C64" s="231"/>
      <c r="D64" s="231"/>
      <c r="E64" s="231"/>
      <c r="F64" s="231"/>
      <c r="G64" s="231"/>
      <c r="H64" s="231"/>
      <c r="I64" s="231"/>
      <c r="J64" s="231"/>
      <c r="K64" s="231"/>
      <c r="L64" s="182" t="s">
        <v>87</v>
      </c>
      <c r="M64" s="182"/>
      <c r="N64" s="184" t="s">
        <v>222</v>
      </c>
      <c r="O64" s="184"/>
      <c r="P64" s="184"/>
      <c r="Q64" s="184"/>
    </row>
    <row r="65" ht="12.75" customHeight="1"/>
  </sheetData>
  <sheetProtection formatCells="0" formatColumns="0" formatRows="0" insertColumns="0" insertRows="0" insertHyperlinks="0" deleteColumns="0" deleteRows="0" sort="0" autoFilter="0" pivotTables="0"/>
  <mergeCells count="61">
    <mergeCell ref="L62:M62"/>
    <mergeCell ref="P62:Q62"/>
    <mergeCell ref="L57:P57"/>
    <mergeCell ref="L58:P58"/>
    <mergeCell ref="L59:Q59"/>
    <mergeCell ref="L60:Q60"/>
    <mergeCell ref="L61:Q61"/>
    <mergeCell ref="A18:Q18"/>
    <mergeCell ref="P42:Q42"/>
    <mergeCell ref="P43:Q43"/>
    <mergeCell ref="A44:Q44"/>
    <mergeCell ref="A45:K64"/>
    <mergeCell ref="L53:Q53"/>
    <mergeCell ref="L54:P54"/>
    <mergeCell ref="L55:P55"/>
    <mergeCell ref="L56:P56"/>
    <mergeCell ref="L63:M63"/>
    <mergeCell ref="P63:Q63"/>
    <mergeCell ref="L64:M64"/>
    <mergeCell ref="N64:Q64"/>
    <mergeCell ref="A20:A21"/>
    <mergeCell ref="A27:A31"/>
    <mergeCell ref="A33:A39"/>
    <mergeCell ref="A15:C16"/>
    <mergeCell ref="D15:H15"/>
    <mergeCell ref="I15:L15"/>
    <mergeCell ref="M15:Q15"/>
    <mergeCell ref="D16:H16"/>
    <mergeCell ref="I16:L16"/>
    <mergeCell ref="M16:Q16"/>
    <mergeCell ref="A13:C13"/>
    <mergeCell ref="D13:H13"/>
    <mergeCell ref="I13:L13"/>
    <mergeCell ref="M13:Q13"/>
    <mergeCell ref="A14:C14"/>
    <mergeCell ref="D14:H14"/>
    <mergeCell ref="I14:L14"/>
    <mergeCell ref="M14:Q14"/>
    <mergeCell ref="A11:C11"/>
    <mergeCell ref="D11:H11"/>
    <mergeCell ref="I11:L11"/>
    <mergeCell ref="M11:Q11"/>
    <mergeCell ref="A12:C12"/>
    <mergeCell ref="D12:H12"/>
    <mergeCell ref="I12:L12"/>
    <mergeCell ref="M12:Q12"/>
    <mergeCell ref="A10:C10"/>
    <mergeCell ref="D10:H10"/>
    <mergeCell ref="I10:L10"/>
    <mergeCell ref="M10:Q10"/>
    <mergeCell ref="C1:L3"/>
    <mergeCell ref="M1:Q2"/>
    <mergeCell ref="M3:Q4"/>
    <mergeCell ref="C4:L6"/>
    <mergeCell ref="M5:Q6"/>
    <mergeCell ref="A7:Q7"/>
    <mergeCell ref="A8:Q8"/>
    <mergeCell ref="A9:C9"/>
    <mergeCell ref="D9:H9"/>
    <mergeCell ref="I9:L9"/>
    <mergeCell ref="M9:Q9"/>
  </mergeCells>
  <dataValidations count="3">
    <dataValidation type="list" operator="equal" allowBlank="1" showErrorMessage="1" sqref="M12">
      <formula1>"MENSUAL,BIMENSUAL,TRIMESTRAL,SEMESTRAL,ANUAL"</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9">
      <formula1>"EFICACIA,EFICIENCIA,EFECTIVIDAD"</formula1>
      <formula2>0</formula2>
    </dataValidation>
  </dataValidations>
  <printOptions horizontalCentered="1"/>
  <pageMargins left="0.19685039370078741" right="0.23622047244094491" top="0.39370078740157483" bottom="0.39370078740157483" header="0.51181102362204722" footer="0.51181102362204722"/>
  <pageSetup paperSize="14" scale="55" firstPageNumber="0" pageOrder="overThenDown"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7"/>
  <sheetViews>
    <sheetView tabSelected="1" topLeftCell="A5" zoomScale="75" zoomScaleNormal="75" workbookViewId="0">
      <selection activeCell="D25" sqref="D25"/>
    </sheetView>
  </sheetViews>
  <sheetFormatPr baseColWidth="10" defaultRowHeight="14.65" customHeight="1"/>
  <cols>
    <col min="1" max="1" width="10.7109375" style="1" customWidth="1"/>
    <col min="2" max="2" width="18.85546875" style="1" customWidth="1"/>
    <col min="3" max="14" width="10.7109375" style="1" customWidth="1"/>
    <col min="15" max="15" width="14.28515625" style="1" customWidth="1"/>
    <col min="16" max="16" width="11.5703125" style="1" customWidth="1"/>
    <col min="17" max="17" width="2.7109375" style="1" customWidth="1"/>
    <col min="18" max="16384" width="11.42578125" style="1"/>
  </cols>
  <sheetData>
    <row r="1" spans="1:16" s="3" customFormat="1" ht="13.9" customHeight="1">
      <c r="A1" s="202"/>
      <c r="B1" s="202"/>
      <c r="C1" s="202"/>
      <c r="D1" s="203" t="s">
        <v>0</v>
      </c>
      <c r="E1" s="203"/>
      <c r="F1" s="203"/>
      <c r="G1" s="203"/>
      <c r="H1" s="203"/>
      <c r="I1" s="203"/>
      <c r="J1" s="203"/>
      <c r="K1" s="203"/>
      <c r="L1" s="203"/>
      <c r="M1" s="204" t="s">
        <v>28</v>
      </c>
      <c r="N1" s="204"/>
      <c r="O1" s="204"/>
      <c r="P1" s="204"/>
    </row>
    <row r="2" spans="1:16" s="3" customFormat="1" ht="13.9" customHeight="1">
      <c r="A2" s="202"/>
      <c r="B2" s="202"/>
      <c r="C2" s="202"/>
      <c r="D2" s="203"/>
      <c r="E2" s="203"/>
      <c r="F2" s="203"/>
      <c r="G2" s="203"/>
      <c r="H2" s="203"/>
      <c r="I2" s="203"/>
      <c r="J2" s="203"/>
      <c r="K2" s="203"/>
      <c r="L2" s="203"/>
      <c r="M2" s="204"/>
      <c r="N2" s="204"/>
      <c r="O2" s="204"/>
      <c r="P2" s="204"/>
    </row>
    <row r="3" spans="1:16" s="3" customFormat="1" ht="13.9" customHeight="1">
      <c r="A3" s="202"/>
      <c r="B3" s="202"/>
      <c r="C3" s="202"/>
      <c r="D3" s="203"/>
      <c r="E3" s="203"/>
      <c r="F3" s="203"/>
      <c r="G3" s="203"/>
      <c r="H3" s="203"/>
      <c r="I3" s="203"/>
      <c r="J3" s="203"/>
      <c r="K3" s="203"/>
      <c r="L3" s="203"/>
      <c r="M3" s="204" t="s">
        <v>29</v>
      </c>
      <c r="N3" s="204"/>
      <c r="O3" s="204"/>
      <c r="P3" s="204"/>
    </row>
    <row r="4" spans="1:16" s="3" customFormat="1" ht="13.9" customHeight="1">
      <c r="A4" s="202"/>
      <c r="B4" s="202"/>
      <c r="C4" s="202"/>
      <c r="D4" s="203" t="s">
        <v>30</v>
      </c>
      <c r="E4" s="203"/>
      <c r="F4" s="203"/>
      <c r="G4" s="203"/>
      <c r="H4" s="203"/>
      <c r="I4" s="203"/>
      <c r="J4" s="203"/>
      <c r="K4" s="203"/>
      <c r="L4" s="203"/>
      <c r="M4" s="204"/>
      <c r="N4" s="204"/>
      <c r="O4" s="204"/>
      <c r="P4" s="204"/>
    </row>
    <row r="5" spans="1:16" s="3" customFormat="1" ht="13.9" customHeight="1">
      <c r="A5" s="202"/>
      <c r="B5" s="202"/>
      <c r="C5" s="202"/>
      <c r="D5" s="203"/>
      <c r="E5" s="203"/>
      <c r="F5" s="203"/>
      <c r="G5" s="203"/>
      <c r="H5" s="203"/>
      <c r="I5" s="203"/>
      <c r="J5" s="203"/>
      <c r="K5" s="203"/>
      <c r="L5" s="203"/>
      <c r="M5" s="204" t="s">
        <v>31</v>
      </c>
      <c r="N5" s="204"/>
      <c r="O5" s="204"/>
      <c r="P5" s="204"/>
    </row>
    <row r="6" spans="1:16" s="3" customFormat="1" ht="13.9" customHeight="1">
      <c r="A6" s="202"/>
      <c r="B6" s="202"/>
      <c r="C6" s="202"/>
      <c r="D6" s="203"/>
      <c r="E6" s="203"/>
      <c r="F6" s="203"/>
      <c r="G6" s="203"/>
      <c r="H6" s="203"/>
      <c r="I6" s="203"/>
      <c r="J6" s="203"/>
      <c r="K6" s="203"/>
      <c r="L6" s="203"/>
      <c r="M6" s="204"/>
      <c r="N6" s="204"/>
      <c r="O6" s="204"/>
      <c r="P6" s="204"/>
    </row>
    <row r="7" spans="1:16" s="3" customFormat="1" ht="12.75" customHeight="1">
      <c r="A7" s="185"/>
      <c r="B7" s="185"/>
      <c r="C7" s="185"/>
      <c r="D7" s="185"/>
      <c r="E7" s="185"/>
      <c r="F7" s="185"/>
      <c r="G7" s="185"/>
      <c r="H7" s="185"/>
      <c r="I7" s="185"/>
      <c r="J7" s="185"/>
      <c r="K7" s="185"/>
      <c r="L7" s="185"/>
      <c r="M7" s="185"/>
      <c r="N7" s="185"/>
      <c r="O7" s="185"/>
      <c r="P7" s="185"/>
    </row>
    <row r="8" spans="1:16" ht="30" customHeight="1">
      <c r="A8" s="179" t="s">
        <v>2</v>
      </c>
      <c r="B8" s="179"/>
      <c r="C8" s="179"/>
      <c r="D8" s="179"/>
      <c r="E8" s="179"/>
      <c r="F8" s="179"/>
      <c r="G8" s="179"/>
      <c r="H8" s="179"/>
      <c r="I8" s="179"/>
      <c r="J8" s="179"/>
      <c r="K8" s="179"/>
      <c r="L8" s="179"/>
      <c r="M8" s="179"/>
      <c r="N8" s="179"/>
      <c r="O8" s="179"/>
      <c r="P8" s="179"/>
    </row>
    <row r="9" spans="1:16" ht="42" customHeight="1">
      <c r="A9" s="200" t="s">
        <v>3</v>
      </c>
      <c r="B9" s="200"/>
      <c r="C9" s="200"/>
      <c r="D9" s="183" t="s">
        <v>4</v>
      </c>
      <c r="E9" s="183"/>
      <c r="F9" s="183"/>
      <c r="G9" s="183"/>
      <c r="H9" s="183"/>
      <c r="I9" s="183"/>
      <c r="J9" s="200" t="s">
        <v>5</v>
      </c>
      <c r="K9" s="200"/>
      <c r="L9" s="200"/>
      <c r="M9" s="201" t="s">
        <v>6</v>
      </c>
      <c r="N9" s="201"/>
      <c r="O9" s="201"/>
      <c r="P9" s="201"/>
    </row>
    <row r="10" spans="1:16" ht="35.25" customHeight="1">
      <c r="A10" s="200" t="s">
        <v>7</v>
      </c>
      <c r="B10" s="200"/>
      <c r="C10" s="200"/>
      <c r="D10" s="183" t="s">
        <v>8</v>
      </c>
      <c r="E10" s="183"/>
      <c r="F10" s="183"/>
      <c r="G10" s="183"/>
      <c r="H10" s="183"/>
      <c r="I10" s="183"/>
      <c r="J10" s="200" t="s">
        <v>9</v>
      </c>
      <c r="K10" s="200"/>
      <c r="L10" s="200"/>
      <c r="M10" s="201" t="s">
        <v>10</v>
      </c>
      <c r="N10" s="201"/>
      <c r="O10" s="201"/>
      <c r="P10" s="201"/>
    </row>
    <row r="11" spans="1:16" ht="66.75" customHeight="1">
      <c r="A11" s="200" t="s">
        <v>11</v>
      </c>
      <c r="B11" s="200"/>
      <c r="C11" s="200"/>
      <c r="D11" s="183" t="s">
        <v>12</v>
      </c>
      <c r="E11" s="183"/>
      <c r="F11" s="183"/>
      <c r="G11" s="183"/>
      <c r="H11" s="183"/>
      <c r="I11" s="183"/>
      <c r="J11" s="200" t="s">
        <v>32</v>
      </c>
      <c r="K11" s="200"/>
      <c r="L11" s="200"/>
      <c r="M11" s="201" t="s">
        <v>33</v>
      </c>
      <c r="N11" s="201"/>
      <c r="O11" s="201"/>
      <c r="P11" s="201"/>
    </row>
    <row r="12" spans="1:16" ht="55.5" customHeight="1">
      <c r="A12" s="200" t="s">
        <v>34</v>
      </c>
      <c r="B12" s="200"/>
      <c r="C12" s="200"/>
      <c r="D12" s="183" t="s">
        <v>35</v>
      </c>
      <c r="E12" s="183"/>
      <c r="F12" s="183"/>
      <c r="G12" s="183"/>
      <c r="H12" s="183"/>
      <c r="I12" s="183"/>
      <c r="J12" s="200" t="s">
        <v>36</v>
      </c>
      <c r="K12" s="200"/>
      <c r="L12" s="200"/>
      <c r="M12" s="201" t="s">
        <v>37</v>
      </c>
      <c r="N12" s="201"/>
      <c r="O12" s="201"/>
      <c r="P12" s="201"/>
    </row>
    <row r="13" spans="1:16" ht="75" customHeight="1">
      <c r="A13" s="200" t="s">
        <v>38</v>
      </c>
      <c r="B13" s="200"/>
      <c r="C13" s="200"/>
      <c r="D13" s="183" t="s">
        <v>39</v>
      </c>
      <c r="E13" s="183"/>
      <c r="F13" s="183"/>
      <c r="G13" s="183"/>
      <c r="H13" s="183"/>
      <c r="I13" s="183"/>
      <c r="J13" s="200" t="s">
        <v>40</v>
      </c>
      <c r="K13" s="200"/>
      <c r="L13" s="200"/>
      <c r="M13" s="201" t="s">
        <v>41</v>
      </c>
      <c r="N13" s="201"/>
      <c r="O13" s="201"/>
      <c r="P13" s="201"/>
    </row>
    <row r="14" spans="1:16" ht="118.5" customHeight="1">
      <c r="A14" s="200" t="s">
        <v>42</v>
      </c>
      <c r="B14" s="200"/>
      <c r="C14" s="200"/>
      <c r="D14" s="183" t="s">
        <v>43</v>
      </c>
      <c r="E14" s="183"/>
      <c r="F14" s="183"/>
      <c r="G14" s="183"/>
      <c r="H14" s="183"/>
      <c r="I14" s="183"/>
      <c r="J14" s="200" t="s">
        <v>44</v>
      </c>
      <c r="K14" s="200"/>
      <c r="L14" s="200"/>
      <c r="M14" s="201" t="s">
        <v>45</v>
      </c>
      <c r="N14" s="201"/>
      <c r="O14" s="201"/>
      <c r="P14" s="201"/>
    </row>
    <row r="15" spans="1:16" ht="49.7" customHeight="1">
      <c r="A15" s="200" t="s">
        <v>46</v>
      </c>
      <c r="B15" s="200"/>
      <c r="C15" s="200"/>
      <c r="D15" s="201" t="s">
        <v>47</v>
      </c>
      <c r="E15" s="201"/>
      <c r="F15" s="201"/>
      <c r="G15" s="201"/>
      <c r="H15" s="201"/>
      <c r="I15" s="200" t="s">
        <v>48</v>
      </c>
      <c r="J15" s="200"/>
      <c r="K15" s="200"/>
      <c r="L15" s="201" t="s">
        <v>443</v>
      </c>
      <c r="M15" s="201"/>
      <c r="N15" s="201"/>
      <c r="O15" s="201"/>
      <c r="P15" s="201"/>
    </row>
    <row r="16" spans="1:16" ht="34.5" customHeight="1">
      <c r="A16" s="200"/>
      <c r="B16" s="200"/>
      <c r="C16" s="200"/>
      <c r="D16" s="201" t="s">
        <v>50</v>
      </c>
      <c r="E16" s="201"/>
      <c r="F16" s="201"/>
      <c r="G16" s="201"/>
      <c r="H16" s="201"/>
      <c r="I16" s="200"/>
      <c r="J16" s="200"/>
      <c r="K16" s="200"/>
      <c r="L16" s="201" t="s">
        <v>444</v>
      </c>
      <c r="M16" s="201"/>
      <c r="N16" s="201"/>
      <c r="O16" s="201"/>
      <c r="P16" s="201"/>
    </row>
    <row r="17" spans="1:19" ht="6.75" customHeight="1"/>
    <row r="18" spans="1:19" ht="30" customHeight="1">
      <c r="A18" s="179" t="s">
        <v>52</v>
      </c>
      <c r="B18" s="179"/>
      <c r="C18" s="179"/>
      <c r="D18" s="179"/>
      <c r="E18" s="179"/>
      <c r="F18" s="179"/>
      <c r="G18" s="179"/>
      <c r="H18" s="179"/>
      <c r="I18" s="179"/>
      <c r="J18" s="179"/>
      <c r="K18" s="179"/>
      <c r="L18" s="179"/>
      <c r="M18" s="179"/>
      <c r="N18" s="179"/>
      <c r="O18" s="179"/>
      <c r="P18" s="179"/>
    </row>
    <row r="19" spans="1:19" ht="30" customHeight="1">
      <c r="A19" s="29" t="s">
        <v>53</v>
      </c>
      <c r="B19" s="30" t="s">
        <v>54</v>
      </c>
      <c r="C19" s="30" t="s">
        <v>55</v>
      </c>
      <c r="D19" s="29" t="s">
        <v>56</v>
      </c>
      <c r="E19" s="29" t="s">
        <v>57</v>
      </c>
      <c r="F19" s="29" t="s">
        <v>58</v>
      </c>
      <c r="G19" s="29" t="s">
        <v>59</v>
      </c>
      <c r="H19" s="29" t="s">
        <v>60</v>
      </c>
      <c r="I19" s="29" t="s">
        <v>61</v>
      </c>
      <c r="J19" s="29" t="s">
        <v>62</v>
      </c>
      <c r="K19" s="29" t="s">
        <v>63</v>
      </c>
      <c r="L19" s="29" t="s">
        <v>64</v>
      </c>
      <c r="M19" s="29" t="s">
        <v>65</v>
      </c>
      <c r="N19" s="29" t="s">
        <v>66</v>
      </c>
      <c r="O19" s="29" t="s">
        <v>67</v>
      </c>
      <c r="P19" s="29" t="s">
        <v>68</v>
      </c>
    </row>
    <row r="20" spans="1:19" ht="30" customHeight="1">
      <c r="A20" s="186"/>
      <c r="B20" s="8" t="s">
        <v>393</v>
      </c>
      <c r="C20" s="9"/>
      <c r="D20" s="9"/>
      <c r="E20" s="9"/>
      <c r="F20" s="9"/>
      <c r="G20" s="9"/>
      <c r="H20" s="9"/>
      <c r="I20" s="9"/>
      <c r="J20" s="9"/>
      <c r="K20" s="9"/>
      <c r="L20" s="9"/>
      <c r="M20" s="9"/>
      <c r="N20" s="9"/>
      <c r="O20" s="31">
        <f>+(C20+D20+E20+F20+G20+H20+I20+J20+K20+L20+M20+N20)/6</f>
        <v>0</v>
      </c>
      <c r="P20" s="32">
        <f t="shared" ref="P20:P35" si="0">+C20+D20+E20+F20+G20+H20+I20++J20+K20+L20+M20+N20</f>
        <v>0</v>
      </c>
      <c r="R20" s="161" t="s">
        <v>393</v>
      </c>
      <c r="S20" s="161">
        <v>3</v>
      </c>
    </row>
    <row r="21" spans="1:19" ht="30" customHeight="1">
      <c r="A21" s="186"/>
      <c r="B21" s="8" t="s">
        <v>396</v>
      </c>
      <c r="C21" s="9"/>
      <c r="D21" s="9"/>
      <c r="E21" s="9"/>
      <c r="F21" s="9"/>
      <c r="G21" s="9"/>
      <c r="H21" s="9"/>
      <c r="I21" s="9"/>
      <c r="J21" s="9"/>
      <c r="K21" s="9"/>
      <c r="L21" s="9"/>
      <c r="M21" s="9"/>
      <c r="N21" s="9"/>
      <c r="O21" s="31">
        <f t="shared" ref="O21:O28" si="1">+(C21+D21+E21+F21+G21+H21+I21+J21+K21+L21+M21+N21)/6</f>
        <v>0</v>
      </c>
      <c r="P21" s="32">
        <f t="shared" si="0"/>
        <v>0</v>
      </c>
      <c r="R21" s="161" t="s">
        <v>396</v>
      </c>
      <c r="S21" s="161">
        <v>4</v>
      </c>
    </row>
    <row r="22" spans="1:19" ht="30" customHeight="1">
      <c r="A22" s="186"/>
      <c r="B22" s="8" t="s">
        <v>394</v>
      </c>
      <c r="C22" s="9"/>
      <c r="D22" s="9"/>
      <c r="E22" s="9"/>
      <c r="F22" s="9"/>
      <c r="G22" s="9"/>
      <c r="H22" s="9"/>
      <c r="I22" s="9"/>
      <c r="J22" s="9"/>
      <c r="K22" s="9"/>
      <c r="L22" s="9"/>
      <c r="M22" s="9"/>
      <c r="N22" s="9"/>
      <c r="O22" s="31">
        <f t="shared" si="1"/>
        <v>0</v>
      </c>
      <c r="P22" s="32">
        <f t="shared" si="0"/>
        <v>0</v>
      </c>
      <c r="R22" s="161" t="s">
        <v>394</v>
      </c>
      <c r="S22" s="161">
        <v>15</v>
      </c>
    </row>
    <row r="23" spans="1:19" ht="30" customHeight="1">
      <c r="A23" s="186"/>
      <c r="B23" s="8" t="s">
        <v>398</v>
      </c>
      <c r="C23" s="9"/>
      <c r="D23" s="9"/>
      <c r="E23" s="9"/>
      <c r="F23" s="9"/>
      <c r="G23" s="9"/>
      <c r="H23" s="9"/>
      <c r="I23" s="9"/>
      <c r="J23" s="9"/>
      <c r="K23" s="9"/>
      <c r="L23" s="9"/>
      <c r="M23" s="9"/>
      <c r="N23" s="9"/>
      <c r="O23" s="31">
        <f t="shared" si="1"/>
        <v>0</v>
      </c>
      <c r="P23" s="32">
        <f t="shared" si="0"/>
        <v>0</v>
      </c>
      <c r="R23" s="161" t="s">
        <v>398</v>
      </c>
      <c r="S23" s="161">
        <v>6</v>
      </c>
    </row>
    <row r="24" spans="1:19" ht="30" customHeight="1">
      <c r="A24" s="186"/>
      <c r="B24" s="8" t="s">
        <v>400</v>
      </c>
      <c r="C24" s="9"/>
      <c r="D24" s="9"/>
      <c r="E24" s="9"/>
      <c r="F24" s="9"/>
      <c r="G24" s="9"/>
      <c r="H24" s="9"/>
      <c r="I24" s="9"/>
      <c r="J24" s="9"/>
      <c r="K24" s="9"/>
      <c r="L24" s="9"/>
      <c r="M24" s="9"/>
      <c r="N24" s="9"/>
      <c r="O24" s="31">
        <f t="shared" si="1"/>
        <v>0</v>
      </c>
      <c r="P24" s="32">
        <f t="shared" si="0"/>
        <v>0</v>
      </c>
      <c r="R24" s="161" t="s">
        <v>400</v>
      </c>
      <c r="S24" s="161">
        <v>18</v>
      </c>
    </row>
    <row r="25" spans="1:19" ht="30" customHeight="1">
      <c r="A25" s="186"/>
      <c r="B25" s="8" t="s">
        <v>401</v>
      </c>
      <c r="C25" s="9"/>
      <c r="D25" s="9"/>
      <c r="E25" s="9"/>
      <c r="F25" s="9"/>
      <c r="G25" s="9"/>
      <c r="H25" s="9"/>
      <c r="I25" s="9"/>
      <c r="J25" s="9"/>
      <c r="K25" s="9"/>
      <c r="L25" s="9"/>
      <c r="M25" s="9"/>
      <c r="N25" s="9"/>
      <c r="O25" s="31">
        <f t="shared" si="1"/>
        <v>0</v>
      </c>
      <c r="P25" s="32">
        <f t="shared" si="0"/>
        <v>0</v>
      </c>
      <c r="R25" s="161" t="s">
        <v>401</v>
      </c>
      <c r="S25" s="161">
        <v>3</v>
      </c>
    </row>
    <row r="26" spans="1:19" ht="30" customHeight="1">
      <c r="A26" s="186"/>
      <c r="B26" s="8" t="s">
        <v>395</v>
      </c>
      <c r="C26" s="9"/>
      <c r="D26" s="9"/>
      <c r="E26" s="9"/>
      <c r="F26" s="9"/>
      <c r="G26" s="9"/>
      <c r="H26" s="9"/>
      <c r="I26" s="9"/>
      <c r="J26" s="9"/>
      <c r="K26" s="9"/>
      <c r="L26" s="9"/>
      <c r="M26" s="9"/>
      <c r="N26" s="9"/>
      <c r="O26" s="31">
        <f t="shared" si="1"/>
        <v>0</v>
      </c>
      <c r="P26" s="32">
        <f t="shared" si="0"/>
        <v>0</v>
      </c>
      <c r="R26" s="161" t="s">
        <v>395</v>
      </c>
      <c r="S26" s="161">
        <v>1</v>
      </c>
    </row>
    <row r="27" spans="1:19" ht="30" customHeight="1">
      <c r="A27" s="186"/>
      <c r="B27" s="8" t="s">
        <v>397</v>
      </c>
      <c r="C27" s="9"/>
      <c r="D27" s="9"/>
      <c r="E27" s="9"/>
      <c r="F27" s="9"/>
      <c r="G27" s="9"/>
      <c r="H27" s="9"/>
      <c r="I27" s="9"/>
      <c r="J27" s="9"/>
      <c r="K27" s="9"/>
      <c r="L27" s="9"/>
      <c r="M27" s="9"/>
      <c r="N27" s="9"/>
      <c r="O27" s="31">
        <f t="shared" si="1"/>
        <v>0</v>
      </c>
      <c r="P27" s="32">
        <f t="shared" si="0"/>
        <v>0</v>
      </c>
      <c r="R27" s="161" t="s">
        <v>397</v>
      </c>
      <c r="S27" s="161">
        <v>27</v>
      </c>
    </row>
    <row r="28" spans="1:19" ht="30" customHeight="1">
      <c r="A28" s="186"/>
      <c r="B28" s="8" t="s">
        <v>399</v>
      </c>
      <c r="C28" s="9"/>
      <c r="D28" s="9"/>
      <c r="E28" s="9"/>
      <c r="F28" s="9"/>
      <c r="G28" s="9"/>
      <c r="H28" s="9"/>
      <c r="I28" s="9"/>
      <c r="J28" s="9"/>
      <c r="K28" s="9"/>
      <c r="L28" s="9"/>
      <c r="M28" s="9"/>
      <c r="N28" s="9"/>
      <c r="O28" s="31">
        <f t="shared" si="1"/>
        <v>0</v>
      </c>
      <c r="P28" s="32">
        <f t="shared" si="0"/>
        <v>0</v>
      </c>
      <c r="R28" s="161" t="s">
        <v>399</v>
      </c>
      <c r="S28" s="161">
        <v>21</v>
      </c>
    </row>
    <row r="29" spans="1:19" ht="38.25" customHeight="1">
      <c r="A29" s="186"/>
      <c r="B29" s="8" t="s">
        <v>69</v>
      </c>
      <c r="C29" s="9">
        <f t="shared" ref="C29:H29" si="2">SUM(C20:C28)</f>
        <v>0</v>
      </c>
      <c r="D29" s="9">
        <f t="shared" si="2"/>
        <v>0</v>
      </c>
      <c r="E29" s="9">
        <f t="shared" si="2"/>
        <v>0</v>
      </c>
      <c r="F29" s="9">
        <f t="shared" si="2"/>
        <v>0</v>
      </c>
      <c r="G29" s="9">
        <f t="shared" si="2"/>
        <v>0</v>
      </c>
      <c r="H29" s="9">
        <f t="shared" si="2"/>
        <v>0</v>
      </c>
      <c r="I29" s="9">
        <f t="shared" ref="I29:N29" si="3">SUM(I20:I28)</f>
        <v>0</v>
      </c>
      <c r="J29" s="9">
        <f t="shared" si="3"/>
        <v>0</v>
      </c>
      <c r="K29" s="9">
        <f t="shared" si="3"/>
        <v>0</v>
      </c>
      <c r="L29" s="9">
        <f t="shared" si="3"/>
        <v>0</v>
      </c>
      <c r="M29" s="9">
        <f t="shared" si="3"/>
        <v>0</v>
      </c>
      <c r="N29" s="9">
        <f t="shared" si="3"/>
        <v>0</v>
      </c>
      <c r="O29" s="31">
        <f>+(C29+D29+E29+F29+G29+H29+I29+J29+K29+L29+M29+N29)/11</f>
        <v>0</v>
      </c>
      <c r="P29" s="32">
        <f t="shared" si="0"/>
        <v>0</v>
      </c>
    </row>
    <row r="30" spans="1:19" ht="44.85" customHeight="1">
      <c r="A30" s="186"/>
      <c r="B30" s="8" t="s">
        <v>70</v>
      </c>
      <c r="C30" s="9"/>
      <c r="D30" s="9"/>
      <c r="E30" s="9"/>
      <c r="F30" s="9"/>
      <c r="G30" s="9"/>
      <c r="H30" s="9"/>
      <c r="I30" s="9"/>
      <c r="J30" s="9" t="s">
        <v>402</v>
      </c>
      <c r="K30" s="9" t="s">
        <v>403</v>
      </c>
      <c r="L30" s="9" t="s">
        <v>404</v>
      </c>
      <c r="M30" s="9"/>
      <c r="N30" s="9"/>
      <c r="O30" s="31"/>
      <c r="P30" s="32"/>
    </row>
    <row r="31" spans="1:19" ht="44.85" customHeight="1">
      <c r="A31" s="186"/>
      <c r="B31" s="8" t="s">
        <v>71</v>
      </c>
      <c r="C31" s="9"/>
      <c r="D31" s="9"/>
      <c r="E31" s="9"/>
      <c r="F31" s="9"/>
      <c r="G31" s="9">
        <v>1</v>
      </c>
      <c r="H31" s="9"/>
      <c r="I31" s="9"/>
      <c r="J31" s="9">
        <v>1</v>
      </c>
      <c r="K31" s="9">
        <v>1</v>
      </c>
      <c r="L31" s="9">
        <v>4</v>
      </c>
      <c r="M31" s="9"/>
      <c r="N31" s="9"/>
      <c r="O31" s="31">
        <f>+(C31+D31+E31+F31+G31+H31+I31+J31+K31+L31+M31+N31)/12</f>
        <v>0.58333333333333337</v>
      </c>
      <c r="P31" s="32">
        <f t="shared" si="0"/>
        <v>7</v>
      </c>
    </row>
    <row r="32" spans="1:19" ht="55.5" customHeight="1">
      <c r="A32" s="186"/>
      <c r="B32" s="8" t="s">
        <v>72</v>
      </c>
      <c r="C32" s="9"/>
      <c r="D32" s="9"/>
      <c r="E32" s="9"/>
      <c r="F32" s="9"/>
      <c r="G32" s="9"/>
      <c r="H32" s="9"/>
      <c r="I32" s="9"/>
      <c r="J32" s="9"/>
      <c r="K32" s="9"/>
      <c r="L32" s="9"/>
      <c r="M32" s="9"/>
      <c r="N32" s="9"/>
      <c r="O32" s="31"/>
      <c r="P32" s="32"/>
    </row>
    <row r="33" spans="1:16" ht="40.5" customHeight="1">
      <c r="A33" s="186"/>
      <c r="B33" s="8" t="s">
        <v>73</v>
      </c>
      <c r="C33" s="9">
        <v>4</v>
      </c>
      <c r="D33" s="9">
        <v>8</v>
      </c>
      <c r="E33" s="9">
        <v>2</v>
      </c>
      <c r="F33" s="9">
        <f t="shared" ref="F33:N33" si="4">+F32</f>
        <v>0</v>
      </c>
      <c r="G33" s="9">
        <f t="shared" si="4"/>
        <v>0</v>
      </c>
      <c r="H33" s="9">
        <f t="shared" si="4"/>
        <v>0</v>
      </c>
      <c r="I33" s="9">
        <f t="shared" si="4"/>
        <v>0</v>
      </c>
      <c r="J33" s="9">
        <f t="shared" si="4"/>
        <v>0</v>
      </c>
      <c r="K33" s="9">
        <f t="shared" si="4"/>
        <v>0</v>
      </c>
      <c r="L33" s="9">
        <f t="shared" si="4"/>
        <v>0</v>
      </c>
      <c r="M33" s="9">
        <f t="shared" si="4"/>
        <v>0</v>
      </c>
      <c r="N33" s="9">
        <f t="shared" si="4"/>
        <v>0</v>
      </c>
      <c r="O33" s="31">
        <f>+(C33+D33+E33+F33+G33+H33+I33+J33+K33+L33+M33+N33)/12</f>
        <v>1.1666666666666667</v>
      </c>
      <c r="P33" s="32">
        <f t="shared" si="0"/>
        <v>14</v>
      </c>
    </row>
    <row r="34" spans="1:16" ht="39" customHeight="1">
      <c r="A34" s="186"/>
      <c r="B34" s="8" t="s">
        <v>74</v>
      </c>
      <c r="C34" s="9">
        <f>+C31+C33</f>
        <v>4</v>
      </c>
      <c r="D34" s="9">
        <f t="shared" ref="D34:N34" si="5">+D31+D33</f>
        <v>8</v>
      </c>
      <c r="E34" s="9">
        <f t="shared" si="5"/>
        <v>2</v>
      </c>
      <c r="F34" s="9">
        <f t="shared" si="5"/>
        <v>0</v>
      </c>
      <c r="G34" s="9">
        <f t="shared" si="5"/>
        <v>1</v>
      </c>
      <c r="H34" s="9">
        <f t="shared" si="5"/>
        <v>0</v>
      </c>
      <c r="I34" s="9">
        <f t="shared" si="5"/>
        <v>0</v>
      </c>
      <c r="J34" s="9">
        <f t="shared" si="5"/>
        <v>1</v>
      </c>
      <c r="K34" s="9">
        <f t="shared" si="5"/>
        <v>1</v>
      </c>
      <c r="L34" s="9">
        <f t="shared" si="5"/>
        <v>4</v>
      </c>
      <c r="M34" s="9">
        <f t="shared" si="5"/>
        <v>0</v>
      </c>
      <c r="N34" s="9">
        <f t="shared" si="5"/>
        <v>0</v>
      </c>
      <c r="O34" s="31">
        <f>+(C34+D34+E34+F34+G34+H34+I34+J34+K34+L34+M34+N34)/12</f>
        <v>1.75</v>
      </c>
      <c r="P34" s="32">
        <f t="shared" si="0"/>
        <v>21</v>
      </c>
    </row>
    <row r="35" spans="1:16" ht="44.85" customHeight="1">
      <c r="A35" s="186"/>
      <c r="B35" s="8" t="s">
        <v>75</v>
      </c>
      <c r="C35" s="9">
        <f>+C29-C34</f>
        <v>-4</v>
      </c>
      <c r="D35" s="9">
        <f>+D29-D34</f>
        <v>-8</v>
      </c>
      <c r="E35" s="9">
        <f>+E29-E34</f>
        <v>-2</v>
      </c>
      <c r="F35" s="9">
        <f>+F29-F34</f>
        <v>0</v>
      </c>
      <c r="G35" s="9">
        <f>+G29-G34</f>
        <v>-1</v>
      </c>
      <c r="H35" s="9">
        <f t="shared" ref="H35:N35" si="6">+H29-H34</f>
        <v>0</v>
      </c>
      <c r="I35" s="9">
        <f t="shared" si="6"/>
        <v>0</v>
      </c>
      <c r="J35" s="9">
        <f t="shared" si="6"/>
        <v>-1</v>
      </c>
      <c r="K35" s="9">
        <f t="shared" si="6"/>
        <v>-1</v>
      </c>
      <c r="L35" s="9">
        <f t="shared" si="6"/>
        <v>-4</v>
      </c>
      <c r="M35" s="9">
        <f t="shared" si="6"/>
        <v>0</v>
      </c>
      <c r="N35" s="9">
        <f t="shared" si="6"/>
        <v>0</v>
      </c>
      <c r="O35" s="31">
        <f>+(C35+D35+E35+F35+G35+H35+I35+J35+K35+L35+M35+N35)/11</f>
        <v>-1.9090909090909092</v>
      </c>
      <c r="P35" s="32">
        <f t="shared" si="0"/>
        <v>-21</v>
      </c>
    </row>
    <row r="36" spans="1:16" s="15" customFormat="1" ht="12.75" customHeight="1">
      <c r="A36" s="158"/>
      <c r="B36" s="158"/>
      <c r="C36" s="159">
        <v>0.8</v>
      </c>
      <c r="D36" s="159">
        <v>0.8</v>
      </c>
      <c r="E36" s="159">
        <v>0.8</v>
      </c>
      <c r="F36" s="159">
        <v>0.8</v>
      </c>
      <c r="G36" s="159">
        <v>0.8</v>
      </c>
      <c r="H36" s="159">
        <v>0.8</v>
      </c>
      <c r="I36" s="159">
        <v>0.8</v>
      </c>
      <c r="J36" s="159">
        <v>0.8</v>
      </c>
      <c r="K36" s="159">
        <v>0.8</v>
      </c>
      <c r="L36" s="159">
        <v>0.8</v>
      </c>
      <c r="M36" s="159">
        <v>0.8</v>
      </c>
      <c r="N36" s="159"/>
      <c r="O36" s="159">
        <v>0.8</v>
      </c>
      <c r="P36" s="160"/>
    </row>
    <row r="37" spans="1:16" ht="30" customHeight="1">
      <c r="A37" s="187" t="s">
        <v>76</v>
      </c>
      <c r="B37" s="187"/>
      <c r="C37" s="187"/>
      <c r="D37" s="187"/>
      <c r="E37" s="187"/>
      <c r="F37" s="187"/>
      <c r="G37" s="187"/>
      <c r="H37" s="187"/>
      <c r="I37" s="187"/>
      <c r="J37" s="187"/>
      <c r="K37" s="187"/>
      <c r="L37" s="187"/>
      <c r="M37" s="187"/>
      <c r="N37" s="187"/>
      <c r="O37" s="187"/>
      <c r="P37" s="187"/>
    </row>
    <row r="38" spans="1:16" ht="36.6" customHeight="1">
      <c r="A38" s="190"/>
      <c r="B38" s="190"/>
      <c r="C38" s="190"/>
      <c r="D38" s="190"/>
      <c r="E38" s="190"/>
      <c r="F38" s="190"/>
      <c r="G38" s="190"/>
      <c r="H38" s="190"/>
      <c r="I38" s="190"/>
      <c r="J38" s="190"/>
      <c r="K38" s="190"/>
      <c r="L38" s="190"/>
      <c r="M38" s="190"/>
      <c r="N38" s="190"/>
      <c r="O38" s="190"/>
      <c r="P38" s="190"/>
    </row>
    <row r="39" spans="1:16" ht="36.6" customHeight="1">
      <c r="A39" s="190"/>
      <c r="B39" s="190"/>
      <c r="C39" s="190"/>
      <c r="D39" s="190"/>
      <c r="E39" s="190"/>
      <c r="F39" s="190"/>
      <c r="G39" s="190"/>
      <c r="H39" s="190"/>
      <c r="I39" s="190"/>
      <c r="J39" s="190"/>
      <c r="K39" s="190"/>
      <c r="L39" s="190"/>
      <c r="M39" s="190"/>
      <c r="N39" s="190"/>
      <c r="O39" s="190"/>
      <c r="P39" s="190"/>
    </row>
    <row r="40" spans="1:16" ht="36.6" customHeight="1">
      <c r="A40" s="190"/>
      <c r="B40" s="190"/>
      <c r="C40" s="190"/>
      <c r="D40" s="190"/>
      <c r="E40" s="190"/>
      <c r="F40" s="190"/>
      <c r="G40" s="190"/>
      <c r="H40" s="190"/>
      <c r="I40" s="190"/>
      <c r="J40" s="190"/>
      <c r="K40" s="190"/>
      <c r="L40" s="190"/>
      <c r="M40" s="190"/>
      <c r="N40" s="190"/>
      <c r="O40" s="190"/>
      <c r="P40" s="190"/>
    </row>
    <row r="41" spans="1:16" ht="36.6" customHeight="1">
      <c r="A41" s="190"/>
      <c r="B41" s="190"/>
      <c r="C41" s="190"/>
      <c r="D41" s="190"/>
      <c r="E41" s="190"/>
      <c r="F41" s="190"/>
      <c r="G41" s="190"/>
      <c r="H41" s="190"/>
      <c r="I41" s="190"/>
      <c r="J41" s="190"/>
      <c r="K41" s="190"/>
      <c r="L41" s="190"/>
      <c r="M41" s="190"/>
      <c r="N41" s="190"/>
      <c r="O41" s="190"/>
      <c r="P41" s="190"/>
    </row>
    <row r="42" spans="1:16" ht="36.6" customHeight="1">
      <c r="A42" s="190"/>
      <c r="B42" s="190"/>
      <c r="C42" s="190"/>
      <c r="D42" s="190"/>
      <c r="E42" s="190"/>
      <c r="F42" s="190"/>
      <c r="G42" s="190"/>
      <c r="H42" s="190"/>
      <c r="I42" s="190"/>
      <c r="J42" s="190"/>
      <c r="K42" s="190"/>
      <c r="L42" s="190"/>
      <c r="M42" s="190"/>
      <c r="N42" s="190"/>
      <c r="O42" s="190"/>
      <c r="P42" s="190"/>
    </row>
    <row r="43" spans="1:16" ht="36.6" customHeight="1">
      <c r="A43" s="190"/>
      <c r="B43" s="190"/>
      <c r="C43" s="190"/>
      <c r="D43" s="190"/>
      <c r="E43" s="190"/>
      <c r="F43" s="190"/>
      <c r="G43" s="190"/>
      <c r="H43" s="190"/>
      <c r="I43" s="190"/>
      <c r="J43" s="190"/>
      <c r="K43" s="190"/>
      <c r="L43" s="190"/>
      <c r="M43" s="190"/>
      <c r="N43" s="190"/>
      <c r="O43" s="190"/>
      <c r="P43" s="190"/>
    </row>
    <row r="44" spans="1:16" ht="36.6" customHeight="1">
      <c r="A44" s="190"/>
      <c r="B44" s="190"/>
      <c r="C44" s="190"/>
      <c r="D44" s="190"/>
      <c r="E44" s="190"/>
      <c r="F44" s="190"/>
      <c r="G44" s="190"/>
      <c r="H44" s="190"/>
      <c r="I44" s="190"/>
      <c r="J44" s="190"/>
      <c r="K44" s="190"/>
      <c r="L44" s="190"/>
      <c r="M44" s="190"/>
      <c r="N44" s="190"/>
      <c r="O44" s="190"/>
      <c r="P44" s="190"/>
    </row>
    <row r="45" spans="1:16" ht="36.6" customHeight="1">
      <c r="A45" s="190"/>
      <c r="B45" s="190"/>
      <c r="C45" s="190"/>
      <c r="D45" s="190"/>
      <c r="E45" s="190"/>
      <c r="F45" s="190"/>
      <c r="G45" s="190"/>
      <c r="H45" s="190"/>
      <c r="I45" s="190"/>
      <c r="J45" s="190"/>
      <c r="K45" s="190"/>
      <c r="L45" s="190"/>
      <c r="M45" s="190"/>
      <c r="N45" s="190"/>
      <c r="O45" s="190"/>
      <c r="P45" s="190"/>
    </row>
    <row r="46" spans="1:16" ht="33.75" customHeight="1">
      <c r="A46" s="191" t="s">
        <v>405</v>
      </c>
      <c r="B46" s="191"/>
      <c r="C46" s="191"/>
      <c r="D46" s="191"/>
      <c r="E46" s="191"/>
      <c r="F46" s="191"/>
      <c r="G46" s="191"/>
      <c r="H46" s="191"/>
      <c r="I46" s="191"/>
      <c r="J46" s="191"/>
      <c r="K46" s="193" t="s">
        <v>77</v>
      </c>
      <c r="L46" s="193"/>
      <c r="M46" s="193"/>
      <c r="N46" s="193"/>
      <c r="O46" s="193"/>
      <c r="P46" s="194"/>
    </row>
    <row r="47" spans="1:16" ht="33.75" customHeight="1">
      <c r="A47" s="191"/>
      <c r="B47" s="191"/>
      <c r="C47" s="191"/>
      <c r="D47" s="191"/>
      <c r="E47" s="191"/>
      <c r="F47" s="191"/>
      <c r="G47" s="191"/>
      <c r="H47" s="191"/>
      <c r="I47" s="191"/>
      <c r="J47" s="191"/>
      <c r="K47" s="188" t="s">
        <v>78</v>
      </c>
      <c r="L47" s="188"/>
      <c r="M47" s="188"/>
      <c r="N47" s="188"/>
      <c r="O47" s="189"/>
      <c r="P47" s="7" t="s">
        <v>81</v>
      </c>
    </row>
    <row r="48" spans="1:16" ht="33.75" customHeight="1">
      <c r="A48" s="191"/>
      <c r="B48" s="191"/>
      <c r="C48" s="191"/>
      <c r="D48" s="191"/>
      <c r="E48" s="191"/>
      <c r="F48" s="191"/>
      <c r="G48" s="191"/>
      <c r="H48" s="191"/>
      <c r="I48" s="191"/>
      <c r="J48" s="191"/>
      <c r="K48" s="188" t="s">
        <v>79</v>
      </c>
      <c r="L48" s="188"/>
      <c r="M48" s="188"/>
      <c r="N48" s="188"/>
      <c r="O48" s="189"/>
      <c r="P48" s="7"/>
    </row>
    <row r="49" spans="1:16" ht="33.75" customHeight="1">
      <c r="A49" s="191"/>
      <c r="B49" s="191"/>
      <c r="C49" s="191"/>
      <c r="D49" s="191"/>
      <c r="E49" s="191"/>
      <c r="F49" s="191"/>
      <c r="G49" s="191"/>
      <c r="H49" s="191"/>
      <c r="I49" s="191"/>
      <c r="J49" s="191"/>
      <c r="K49" s="188" t="s">
        <v>80</v>
      </c>
      <c r="L49" s="188"/>
      <c r="M49" s="188"/>
      <c r="N49" s="188"/>
      <c r="O49" s="189"/>
      <c r="P49" s="7"/>
    </row>
    <row r="50" spans="1:16" ht="33.75" customHeight="1">
      <c r="A50" s="191"/>
      <c r="B50" s="191"/>
      <c r="C50" s="191"/>
      <c r="D50" s="191"/>
      <c r="E50" s="191"/>
      <c r="F50" s="191"/>
      <c r="G50" s="191"/>
      <c r="H50" s="191"/>
      <c r="I50" s="191"/>
      <c r="J50" s="191"/>
      <c r="K50" s="188" t="s">
        <v>82</v>
      </c>
      <c r="L50" s="188"/>
      <c r="M50" s="188"/>
      <c r="N50" s="188"/>
      <c r="O50" s="189"/>
      <c r="P50" s="7"/>
    </row>
    <row r="51" spans="1:16" ht="33.75" customHeight="1">
      <c r="A51" s="191"/>
      <c r="B51" s="191"/>
      <c r="C51" s="191"/>
      <c r="D51" s="191"/>
      <c r="E51" s="191"/>
      <c r="F51" s="191"/>
      <c r="G51" s="191"/>
      <c r="H51" s="191"/>
      <c r="I51" s="191"/>
      <c r="J51" s="191"/>
      <c r="K51" s="188" t="s">
        <v>83</v>
      </c>
      <c r="L51" s="188"/>
      <c r="M51" s="188"/>
      <c r="N51" s="188"/>
      <c r="O51" s="189"/>
      <c r="P51" s="7"/>
    </row>
    <row r="52" spans="1:16" ht="33.75" customHeight="1">
      <c r="A52" s="191"/>
      <c r="B52" s="191"/>
      <c r="C52" s="191"/>
      <c r="D52" s="191"/>
      <c r="E52" s="191"/>
      <c r="F52" s="191"/>
      <c r="G52" s="191"/>
      <c r="H52" s="191"/>
      <c r="I52" s="191"/>
      <c r="J52" s="191"/>
      <c r="K52" s="195" t="s">
        <v>84</v>
      </c>
      <c r="L52" s="195"/>
      <c r="M52" s="195"/>
      <c r="N52" s="195"/>
      <c r="O52" s="195"/>
      <c r="P52" s="196"/>
    </row>
    <row r="53" spans="1:16" ht="33.75" customHeight="1">
      <c r="A53" s="191"/>
      <c r="B53" s="191"/>
      <c r="C53" s="191"/>
      <c r="D53" s="191"/>
      <c r="E53" s="191"/>
      <c r="F53" s="191"/>
      <c r="G53" s="191"/>
      <c r="H53" s="191"/>
      <c r="I53" s="191"/>
      <c r="J53" s="191"/>
      <c r="K53" s="197" t="s">
        <v>49</v>
      </c>
      <c r="L53" s="197"/>
      <c r="M53" s="197"/>
      <c r="N53" s="197"/>
      <c r="O53" s="197"/>
      <c r="P53" s="198"/>
    </row>
    <row r="54" spans="1:16" ht="33.75" customHeight="1">
      <c r="A54" s="191"/>
      <c r="B54" s="191"/>
      <c r="C54" s="191"/>
      <c r="D54" s="191"/>
      <c r="E54" s="191"/>
      <c r="F54" s="191"/>
      <c r="G54" s="191"/>
      <c r="H54" s="191"/>
      <c r="I54" s="191"/>
      <c r="J54" s="191"/>
      <c r="K54" s="197" t="s">
        <v>51</v>
      </c>
      <c r="L54" s="197"/>
      <c r="M54" s="197"/>
      <c r="N54" s="197"/>
      <c r="O54" s="197"/>
      <c r="P54" s="198"/>
    </row>
    <row r="55" spans="1:16" ht="33.75" customHeight="1">
      <c r="A55" s="191"/>
      <c r="B55" s="191"/>
      <c r="C55" s="191"/>
      <c r="D55" s="191"/>
      <c r="E55" s="191"/>
      <c r="F55" s="191"/>
      <c r="G55" s="191"/>
      <c r="H55" s="191"/>
      <c r="I55" s="191"/>
      <c r="J55" s="191"/>
      <c r="K55" s="192" t="s">
        <v>85</v>
      </c>
      <c r="L55" s="182"/>
      <c r="M55" s="36">
        <v>30</v>
      </c>
      <c r="N55" s="36">
        <v>6</v>
      </c>
      <c r="O55" s="199">
        <v>2017</v>
      </c>
      <c r="P55" s="199"/>
    </row>
    <row r="56" spans="1:16" ht="33.75" customHeight="1">
      <c r="A56" s="191"/>
      <c r="B56" s="191"/>
      <c r="C56" s="191"/>
      <c r="D56" s="191"/>
      <c r="E56" s="191"/>
      <c r="F56" s="191"/>
      <c r="G56" s="191"/>
      <c r="H56" s="191"/>
      <c r="I56" s="191"/>
      <c r="J56" s="191"/>
      <c r="K56" s="192" t="s">
        <v>86</v>
      </c>
      <c r="L56" s="182"/>
      <c r="M56" s="36">
        <v>12</v>
      </c>
      <c r="N56" s="36">
        <v>6</v>
      </c>
      <c r="O56" s="199">
        <v>2017</v>
      </c>
      <c r="P56" s="199"/>
    </row>
    <row r="57" spans="1:16" ht="14.65" customHeight="1">
      <c r="A57" s="191"/>
      <c r="B57" s="191"/>
      <c r="C57" s="191"/>
      <c r="D57" s="191"/>
      <c r="E57" s="191"/>
      <c r="F57" s="191"/>
      <c r="G57" s="191"/>
      <c r="H57" s="191"/>
      <c r="I57" s="191"/>
      <c r="J57" s="191"/>
      <c r="K57" s="192" t="s">
        <v>87</v>
      </c>
      <c r="L57" s="182"/>
      <c r="M57" s="184" t="s">
        <v>88</v>
      </c>
      <c r="N57" s="184"/>
      <c r="O57" s="184"/>
      <c r="P57" s="184"/>
    </row>
  </sheetData>
  <sheetProtection formatCells="0" formatColumns="0" formatRows="0" insertColumns="0" insertRows="0" insertHyperlinks="0" deleteColumns="0" deleteRows="0" sort="0" autoFilter="0" pivotTables="0"/>
  <mergeCells count="58">
    <mergeCell ref="A7:P7"/>
    <mergeCell ref="A8:P8"/>
    <mergeCell ref="A1:C6"/>
    <mergeCell ref="D1:L3"/>
    <mergeCell ref="M1:P2"/>
    <mergeCell ref="M3:P4"/>
    <mergeCell ref="D4:L6"/>
    <mergeCell ref="M5:P6"/>
    <mergeCell ref="A9:C9"/>
    <mergeCell ref="D9:I9"/>
    <mergeCell ref="J9:L9"/>
    <mergeCell ref="M9:P9"/>
    <mergeCell ref="A10:C10"/>
    <mergeCell ref="D10:I10"/>
    <mergeCell ref="J10:L10"/>
    <mergeCell ref="M10:P10"/>
    <mergeCell ref="A11:C11"/>
    <mergeCell ref="D11:I11"/>
    <mergeCell ref="J11:L11"/>
    <mergeCell ref="M11:P11"/>
    <mergeCell ref="A12:C12"/>
    <mergeCell ref="D12:I12"/>
    <mergeCell ref="J12:L12"/>
    <mergeCell ref="M12:P12"/>
    <mergeCell ref="A13:C13"/>
    <mergeCell ref="D13:I13"/>
    <mergeCell ref="J13:L13"/>
    <mergeCell ref="M13:P13"/>
    <mergeCell ref="A14:C14"/>
    <mergeCell ref="D14:I14"/>
    <mergeCell ref="J14:L14"/>
    <mergeCell ref="M14:P14"/>
    <mergeCell ref="A15:C16"/>
    <mergeCell ref="D15:H15"/>
    <mergeCell ref="I15:K16"/>
    <mergeCell ref="L15:P15"/>
    <mergeCell ref="D16:H16"/>
    <mergeCell ref="L16:P16"/>
    <mergeCell ref="K51:O51"/>
    <mergeCell ref="A38:P45"/>
    <mergeCell ref="A46:J57"/>
    <mergeCell ref="K57:L57"/>
    <mergeCell ref="M57:P57"/>
    <mergeCell ref="K48:O48"/>
    <mergeCell ref="K47:O47"/>
    <mergeCell ref="K46:P46"/>
    <mergeCell ref="K52:P52"/>
    <mergeCell ref="K53:P53"/>
    <mergeCell ref="K54:P54"/>
    <mergeCell ref="K55:L55"/>
    <mergeCell ref="O55:P55"/>
    <mergeCell ref="K56:L56"/>
    <mergeCell ref="O56:P56"/>
    <mergeCell ref="A18:P18"/>
    <mergeCell ref="A20:A35"/>
    <mergeCell ref="A37:P37"/>
    <mergeCell ref="K49:O49"/>
    <mergeCell ref="K50:O50"/>
  </mergeCells>
  <dataValidations count="4">
    <dataValidation operator="equal" allowBlank="1" showErrorMessage="1" errorTitle="Seleccionar un valor de la lista" sqref="F30:M32 F20:M28">
      <formula1>0</formula1>
      <formula2>0</formula2>
    </dataValidation>
    <dataValidation type="list" operator="equal" allowBlank="1" showErrorMessage="1" sqref="M9">
      <formula1>"EFICACIA,EFICIENCIA,EFECTIVIDAD"</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s>
  <printOptions horizontalCentered="1"/>
  <pageMargins left="0.19685039370078741" right="0.23622047244094491" top="0.59055118110236227" bottom="0.43307086614173229" header="0.51181102362204722" footer="0.51181102362204722"/>
  <pageSetup scale="70" firstPageNumber="0" pageOrder="overThenDown"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opLeftCell="A14" zoomScale="75" zoomScaleNormal="75" workbookViewId="0">
      <selection activeCell="U35" sqref="U35:U38"/>
    </sheetView>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9.85546875" style="1" customWidth="1"/>
    <col min="6" max="6" width="9.85546875" style="1" customWidth="1"/>
    <col min="7" max="14" width="10.7109375" style="1" customWidth="1"/>
    <col min="15" max="15" width="11.28515625" style="1" customWidth="1"/>
    <col min="16" max="16" width="11" style="1" customWidth="1"/>
    <col min="17" max="17" width="10.7109375" style="1" customWidth="1"/>
    <col min="18" max="18" width="13.140625" style="1" customWidth="1"/>
    <col min="19" max="19" width="10.7109375" style="1" customWidth="1"/>
    <col min="20" max="21" width="12.140625" style="1" customWidth="1"/>
    <col min="22" max="22" width="2.7109375" style="1" customWidth="1"/>
    <col min="23" max="16384" width="11.42578125" style="1"/>
  </cols>
  <sheetData>
    <row r="1" spans="1:256" s="3" customFormat="1" ht="13.9" customHeight="1">
      <c r="A1" s="184" t="s">
        <v>0</v>
      </c>
      <c r="B1" s="184"/>
      <c r="C1" s="184"/>
      <c r="D1" s="184"/>
      <c r="E1" s="184"/>
      <c r="F1" s="184"/>
      <c r="G1" s="184"/>
      <c r="H1" s="184"/>
      <c r="I1" s="184"/>
      <c r="J1" s="184"/>
      <c r="K1" s="184"/>
      <c r="L1" s="184"/>
      <c r="M1" s="184"/>
      <c r="N1" s="184"/>
      <c r="O1" s="184"/>
      <c r="P1" s="184"/>
      <c r="Q1" s="184"/>
      <c r="R1" s="184"/>
      <c r="S1" s="184"/>
      <c r="T1" s="184"/>
      <c r="U1" s="184"/>
    </row>
    <row r="2" spans="1:256" s="3" customFormat="1" ht="13.9" customHeight="1">
      <c r="A2" s="184"/>
      <c r="B2" s="184"/>
      <c r="C2" s="184"/>
      <c r="D2" s="184"/>
      <c r="E2" s="184"/>
      <c r="F2" s="184"/>
      <c r="G2" s="184"/>
      <c r="H2" s="184"/>
      <c r="I2" s="184"/>
      <c r="J2" s="184"/>
      <c r="K2" s="184"/>
      <c r="L2" s="184"/>
      <c r="M2" s="184"/>
      <c r="N2" s="184"/>
      <c r="O2" s="184"/>
      <c r="P2" s="184"/>
      <c r="Q2" s="184"/>
      <c r="R2" s="184"/>
      <c r="S2" s="184"/>
      <c r="T2" s="184"/>
      <c r="U2" s="184"/>
    </row>
    <row r="3" spans="1:256" s="3" customFormat="1" ht="13.9" customHeight="1">
      <c r="A3" s="184"/>
      <c r="B3" s="184"/>
      <c r="C3" s="184"/>
      <c r="D3" s="184"/>
      <c r="E3" s="184"/>
      <c r="F3" s="184"/>
      <c r="G3" s="184"/>
      <c r="H3" s="184"/>
      <c r="I3" s="184"/>
      <c r="J3" s="184"/>
      <c r="K3" s="184"/>
      <c r="L3" s="184"/>
      <c r="M3" s="184"/>
      <c r="N3" s="184"/>
      <c r="O3" s="184"/>
      <c r="P3" s="184"/>
      <c r="Q3" s="184"/>
      <c r="R3" s="184"/>
      <c r="S3" s="184"/>
      <c r="T3" s="184"/>
      <c r="U3" s="184"/>
    </row>
    <row r="4" spans="1:256" s="3" customFormat="1" ht="13.9" customHeight="1">
      <c r="A4" s="184" t="s">
        <v>1</v>
      </c>
      <c r="B4" s="184"/>
      <c r="C4" s="184"/>
      <c r="D4" s="184"/>
      <c r="E4" s="184"/>
      <c r="F4" s="184"/>
      <c r="G4" s="184"/>
      <c r="H4" s="184"/>
      <c r="I4" s="184"/>
      <c r="J4" s="184"/>
      <c r="K4" s="184"/>
      <c r="L4" s="184"/>
      <c r="M4" s="184"/>
      <c r="N4" s="184"/>
      <c r="O4" s="184"/>
      <c r="P4" s="184"/>
      <c r="Q4" s="184"/>
      <c r="R4" s="184"/>
      <c r="S4" s="184"/>
      <c r="T4" s="184"/>
      <c r="U4" s="184"/>
    </row>
    <row r="5" spans="1:256" s="3" customFormat="1" ht="13.9" customHeight="1">
      <c r="A5" s="184"/>
      <c r="B5" s="184"/>
      <c r="C5" s="184"/>
      <c r="D5" s="184"/>
      <c r="E5" s="184"/>
      <c r="F5" s="184"/>
      <c r="G5" s="184"/>
      <c r="H5" s="184"/>
      <c r="I5" s="184"/>
      <c r="J5" s="184"/>
      <c r="K5" s="184"/>
      <c r="L5" s="184"/>
      <c r="M5" s="184"/>
      <c r="N5" s="184"/>
      <c r="O5" s="184"/>
      <c r="P5" s="184"/>
      <c r="Q5" s="184"/>
      <c r="R5" s="184"/>
      <c r="S5" s="184"/>
      <c r="T5" s="184"/>
      <c r="U5" s="184"/>
    </row>
    <row r="6" spans="1:256" s="3" customFormat="1" ht="13.9" customHeight="1">
      <c r="A6" s="184"/>
      <c r="B6" s="184"/>
      <c r="C6" s="184"/>
      <c r="D6" s="184"/>
      <c r="E6" s="184"/>
      <c r="F6" s="184"/>
      <c r="G6" s="184"/>
      <c r="H6" s="184"/>
      <c r="I6" s="184"/>
      <c r="J6" s="184"/>
      <c r="K6" s="184"/>
      <c r="L6" s="184"/>
      <c r="M6" s="184"/>
      <c r="N6" s="184"/>
      <c r="O6" s="184"/>
      <c r="P6" s="184"/>
      <c r="Q6" s="184"/>
      <c r="R6" s="184"/>
      <c r="S6" s="184"/>
      <c r="T6" s="184"/>
      <c r="U6" s="184"/>
    </row>
    <row r="7" spans="1:256" s="3" customFormat="1" ht="12.75" customHeight="1">
      <c r="A7" s="185"/>
      <c r="B7" s="185"/>
      <c r="C7" s="185"/>
      <c r="D7" s="185"/>
      <c r="E7" s="185"/>
      <c r="F7" s="185"/>
      <c r="G7" s="185"/>
      <c r="H7" s="185"/>
      <c r="I7" s="185"/>
      <c r="J7" s="185"/>
      <c r="K7" s="185"/>
      <c r="L7" s="185"/>
      <c r="M7" s="185"/>
      <c r="N7" s="185"/>
      <c r="O7" s="185"/>
      <c r="P7" s="185"/>
      <c r="Q7" s="185"/>
      <c r="R7" s="185"/>
      <c r="S7" s="185"/>
      <c r="T7" s="185"/>
      <c r="U7" s="185"/>
    </row>
    <row r="8" spans="1:256" ht="30" customHeight="1">
      <c r="A8" s="179" t="s">
        <v>2</v>
      </c>
      <c r="B8" s="179"/>
      <c r="C8" s="179"/>
      <c r="D8" s="179"/>
      <c r="E8" s="179"/>
      <c r="F8" s="179"/>
      <c r="G8" s="179"/>
      <c r="H8" s="179"/>
      <c r="I8" s="179"/>
      <c r="J8" s="179"/>
      <c r="K8" s="179"/>
      <c r="L8" s="179"/>
      <c r="M8" s="179"/>
      <c r="N8" s="179"/>
      <c r="O8" s="179"/>
      <c r="P8" s="179"/>
      <c r="Q8" s="179"/>
      <c r="R8" s="179"/>
      <c r="S8" s="179"/>
      <c r="T8" s="179"/>
      <c r="U8" s="179"/>
    </row>
    <row r="9" spans="1:256" ht="42" customHeight="1">
      <c r="A9" s="182" t="s">
        <v>3</v>
      </c>
      <c r="B9" s="182"/>
      <c r="C9" s="182"/>
      <c r="D9" s="182"/>
      <c r="E9" s="182"/>
      <c r="F9" s="182"/>
      <c r="G9" s="183" t="s">
        <v>89</v>
      </c>
      <c r="H9" s="183"/>
      <c r="I9" s="183"/>
      <c r="J9" s="183"/>
      <c r="K9" s="183"/>
      <c r="L9" s="183"/>
      <c r="M9" s="182" t="s">
        <v>5</v>
      </c>
      <c r="N9" s="182"/>
      <c r="O9" s="182"/>
      <c r="P9" s="201" t="s">
        <v>90</v>
      </c>
      <c r="Q9" s="201"/>
      <c r="R9" s="201"/>
      <c r="S9" s="201"/>
      <c r="T9" s="201"/>
      <c r="U9" s="201"/>
    </row>
    <row r="10" spans="1:256" ht="42" customHeight="1">
      <c r="A10" s="182" t="s">
        <v>7</v>
      </c>
      <c r="B10" s="182"/>
      <c r="C10" s="182"/>
      <c r="D10" s="182"/>
      <c r="E10" s="182"/>
      <c r="F10" s="182"/>
      <c r="G10" s="183" t="s">
        <v>8</v>
      </c>
      <c r="H10" s="183"/>
      <c r="I10" s="183"/>
      <c r="J10" s="183"/>
      <c r="K10" s="183"/>
      <c r="L10" s="183"/>
      <c r="M10" s="182" t="s">
        <v>9</v>
      </c>
      <c r="N10" s="182"/>
      <c r="O10" s="182"/>
      <c r="P10" s="201" t="s">
        <v>10</v>
      </c>
      <c r="Q10" s="201"/>
      <c r="R10" s="201"/>
      <c r="S10" s="201"/>
      <c r="T10" s="201"/>
      <c r="U10" s="201"/>
    </row>
    <row r="11" spans="1:256" ht="52.9" customHeight="1">
      <c r="A11" s="182" t="s">
        <v>11</v>
      </c>
      <c r="B11" s="182"/>
      <c r="C11" s="182"/>
      <c r="D11" s="182"/>
      <c r="E11" s="182"/>
      <c r="F11" s="182"/>
      <c r="G11" s="183" t="s">
        <v>91</v>
      </c>
      <c r="H11" s="183"/>
      <c r="I11" s="183"/>
      <c r="J11" s="183"/>
      <c r="K11" s="183"/>
      <c r="L11" s="183"/>
      <c r="M11" s="182" t="s">
        <v>13</v>
      </c>
      <c r="N11" s="182"/>
      <c r="O11" s="182"/>
      <c r="P11" s="201" t="s">
        <v>33</v>
      </c>
      <c r="Q11" s="201"/>
      <c r="R11" s="201"/>
      <c r="S11" s="201"/>
      <c r="T11" s="201"/>
      <c r="U11" s="201"/>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92</v>
      </c>
      <c r="B13" s="179"/>
      <c r="C13" s="179"/>
      <c r="D13" s="179"/>
      <c r="E13" s="179"/>
      <c r="F13" s="179"/>
      <c r="G13" s="179"/>
      <c r="H13" s="179"/>
      <c r="I13" s="179"/>
      <c r="J13" s="179"/>
      <c r="K13" s="179"/>
      <c r="L13" s="179"/>
      <c r="M13" s="179"/>
      <c r="N13" s="179"/>
      <c r="O13" s="179"/>
      <c r="P13" s="179"/>
      <c r="Q13" s="179"/>
      <c r="R13" s="179"/>
      <c r="S13" s="179"/>
      <c r="T13" s="179"/>
      <c r="U13" s="179"/>
    </row>
    <row r="14" spans="1:256" ht="30" customHeight="1">
      <c r="A14" s="4" t="s">
        <v>53</v>
      </c>
      <c r="B14" s="4" t="s">
        <v>93</v>
      </c>
      <c r="C14" s="6" t="s">
        <v>94</v>
      </c>
      <c r="D14" s="6" t="s">
        <v>95</v>
      </c>
      <c r="E14" s="6" t="s">
        <v>96</v>
      </c>
      <c r="F14" s="6" t="s">
        <v>55</v>
      </c>
      <c r="G14" s="4" t="s">
        <v>56</v>
      </c>
      <c r="H14" s="4" t="s">
        <v>57</v>
      </c>
      <c r="I14" s="4" t="s">
        <v>58</v>
      </c>
      <c r="J14" s="4" t="s">
        <v>59</v>
      </c>
      <c r="K14" s="4" t="s">
        <v>60</v>
      </c>
      <c r="L14" s="4" t="s">
        <v>61</v>
      </c>
      <c r="M14" s="4" t="s">
        <v>62</v>
      </c>
      <c r="N14" s="4" t="s">
        <v>63</v>
      </c>
      <c r="O14" s="4" t="s">
        <v>64</v>
      </c>
      <c r="P14" s="4" t="s">
        <v>65</v>
      </c>
      <c r="Q14" s="4" t="s">
        <v>66</v>
      </c>
      <c r="R14" s="4" t="s">
        <v>97</v>
      </c>
      <c r="S14" s="4" t="s">
        <v>93</v>
      </c>
      <c r="T14" s="4" t="s">
        <v>98</v>
      </c>
      <c r="U14" s="4" t="s">
        <v>99</v>
      </c>
    </row>
    <row r="15" spans="1:256" ht="15" customHeight="1">
      <c r="A15" s="178">
        <v>2015</v>
      </c>
      <c r="B15" s="178">
        <v>914</v>
      </c>
      <c r="C15" s="7" t="s">
        <v>100</v>
      </c>
      <c r="D15" s="37">
        <v>92000</v>
      </c>
      <c r="E15" s="38" t="s">
        <v>101</v>
      </c>
      <c r="F15" s="9">
        <v>0</v>
      </c>
      <c r="G15" s="9">
        <v>123</v>
      </c>
      <c r="H15" s="9">
        <v>4294</v>
      </c>
      <c r="I15" s="9">
        <v>8411</v>
      </c>
      <c r="J15" s="9">
        <v>19864</v>
      </c>
      <c r="K15" s="9">
        <v>24922</v>
      </c>
      <c r="L15" s="9">
        <v>42470</v>
      </c>
      <c r="M15" s="9">
        <v>50099</v>
      </c>
      <c r="N15" s="9">
        <v>57286</v>
      </c>
      <c r="O15" s="9">
        <v>66314</v>
      </c>
      <c r="P15" s="9">
        <v>72718</v>
      </c>
      <c r="Q15" s="9">
        <v>80027</v>
      </c>
      <c r="R15" s="9">
        <f>MAX(F15,G15,H15,I15,J15,K15,L15,M15,N15,O15,P15,Q15)</f>
        <v>80027</v>
      </c>
      <c r="S15" s="178">
        <v>914</v>
      </c>
      <c r="T15" s="33">
        <f t="shared" ref="T15:T21" si="0">+R15/D15</f>
        <v>0.86985869565217389</v>
      </c>
      <c r="U15" s="206">
        <f>+(T15+T16)/2</f>
        <v>0.96617934782608694</v>
      </c>
    </row>
    <row r="16" spans="1:256" ht="28.5" customHeight="1">
      <c r="A16" s="178"/>
      <c r="B16" s="178"/>
      <c r="C16" s="7" t="s">
        <v>102</v>
      </c>
      <c r="D16" s="39">
        <v>80</v>
      </c>
      <c r="E16" s="38" t="s">
        <v>103</v>
      </c>
      <c r="F16" s="9">
        <v>0</v>
      </c>
      <c r="G16" s="9">
        <v>0</v>
      </c>
      <c r="H16" s="9">
        <v>2</v>
      </c>
      <c r="I16" s="9">
        <v>1</v>
      </c>
      <c r="J16" s="9">
        <v>0</v>
      </c>
      <c r="K16" s="9">
        <v>0</v>
      </c>
      <c r="L16" s="9">
        <v>5</v>
      </c>
      <c r="M16" s="9">
        <v>8</v>
      </c>
      <c r="N16" s="9">
        <v>50</v>
      </c>
      <c r="O16" s="9">
        <v>66</v>
      </c>
      <c r="P16" s="9">
        <v>85</v>
      </c>
      <c r="Q16" s="9">
        <v>85</v>
      </c>
      <c r="R16" s="9">
        <f>MAX(F16,G16,H16,I16,J16,K16,L16,M16,N16,O16,P16,Q16)</f>
        <v>85</v>
      </c>
      <c r="S16" s="178"/>
      <c r="T16" s="33">
        <f t="shared" si="0"/>
        <v>1.0625</v>
      </c>
      <c r="U16" s="206"/>
    </row>
    <row r="17" spans="1:21" ht="30" customHeight="1">
      <c r="A17" s="178"/>
      <c r="B17" s="178">
        <v>915</v>
      </c>
      <c r="C17" s="7" t="s">
        <v>104</v>
      </c>
      <c r="D17" s="37">
        <v>65216</v>
      </c>
      <c r="E17" s="38" t="s">
        <v>105</v>
      </c>
      <c r="F17" s="9">
        <v>0</v>
      </c>
      <c r="G17" s="9">
        <v>11726</v>
      </c>
      <c r="H17" s="9">
        <v>24602</v>
      </c>
      <c r="I17" s="9">
        <v>28125</v>
      </c>
      <c r="J17" s="9">
        <v>30414</v>
      </c>
      <c r="K17" s="9">
        <v>32251</v>
      </c>
      <c r="L17" s="9">
        <v>40090</v>
      </c>
      <c r="M17" s="9">
        <v>43834</v>
      </c>
      <c r="N17" s="9">
        <v>51190</v>
      </c>
      <c r="O17" s="9">
        <v>54619</v>
      </c>
      <c r="P17" s="9">
        <v>58960</v>
      </c>
      <c r="Q17" s="9">
        <v>58960</v>
      </c>
      <c r="R17" s="9">
        <f>MAX(F17,G17,H17,I17,J17,K17,L17,M17,N17,O17,P17,Q17)</f>
        <v>58960</v>
      </c>
      <c r="S17" s="178">
        <v>915</v>
      </c>
      <c r="T17" s="33">
        <f t="shared" si="0"/>
        <v>0.90407262021589796</v>
      </c>
      <c r="U17" s="206">
        <f>+T17*0.7+T18*0.3</f>
        <v>0.9401679073218604</v>
      </c>
    </row>
    <row r="18" spans="1:21" ht="30" customHeight="1">
      <c r="A18" s="178"/>
      <c r="B18" s="178"/>
      <c r="C18" s="7" t="s">
        <v>106</v>
      </c>
      <c r="D18" s="39">
        <v>41</v>
      </c>
      <c r="E18" s="38" t="s">
        <v>107</v>
      </c>
      <c r="F18" s="9">
        <v>0</v>
      </c>
      <c r="G18" s="9">
        <v>0</v>
      </c>
      <c r="H18" s="9">
        <v>14</v>
      </c>
      <c r="I18" s="9">
        <v>26</v>
      </c>
      <c r="J18" s="9">
        <v>30</v>
      </c>
      <c r="K18" s="9">
        <v>36</v>
      </c>
      <c r="L18" s="9">
        <v>38</v>
      </c>
      <c r="M18" s="9">
        <v>40</v>
      </c>
      <c r="N18" s="9">
        <v>42</v>
      </c>
      <c r="O18" s="9">
        <v>42</v>
      </c>
      <c r="P18" s="9">
        <v>42</v>
      </c>
      <c r="Q18" s="9">
        <v>42</v>
      </c>
      <c r="R18" s="9">
        <f>MAX(F18,G18,H18,I18,J18,K18,L18,M18,N18,O18,P18,Q18)</f>
        <v>42</v>
      </c>
      <c r="S18" s="178"/>
      <c r="T18" s="33">
        <f t="shared" si="0"/>
        <v>1.024390243902439</v>
      </c>
      <c r="U18" s="206"/>
    </row>
    <row r="19" spans="1:21" ht="15" customHeight="1">
      <c r="A19" s="178"/>
      <c r="B19" s="178">
        <v>772</v>
      </c>
      <c r="C19" s="7" t="s">
        <v>108</v>
      </c>
      <c r="D19" s="39">
        <v>6</v>
      </c>
      <c r="E19" s="38" t="s">
        <v>109</v>
      </c>
      <c r="F19" s="9">
        <v>0</v>
      </c>
      <c r="G19" s="9">
        <v>0</v>
      </c>
      <c r="H19" s="9">
        <v>2</v>
      </c>
      <c r="I19" s="9">
        <v>0</v>
      </c>
      <c r="J19" s="9">
        <v>2</v>
      </c>
      <c r="K19" s="9">
        <v>2</v>
      </c>
      <c r="L19" s="9">
        <v>3</v>
      </c>
      <c r="M19" s="9">
        <v>5</v>
      </c>
      <c r="N19" s="9">
        <v>4</v>
      </c>
      <c r="O19" s="9">
        <v>0</v>
      </c>
      <c r="P19" s="9">
        <v>0</v>
      </c>
      <c r="Q19" s="9">
        <v>0</v>
      </c>
      <c r="R19" s="9">
        <f>MAX(F19,G19,H19,I19,J19,K19,L19,M19,N19,O19,P19,Q19)</f>
        <v>5</v>
      </c>
      <c r="S19" s="178">
        <v>772</v>
      </c>
      <c r="T19" s="33">
        <f t="shared" si="0"/>
        <v>0.83333333333333337</v>
      </c>
      <c r="U19" s="206">
        <f>+(T19+T20+T21)/3</f>
        <v>0.98444444444444457</v>
      </c>
    </row>
    <row r="20" spans="1:21" ht="15" customHeight="1">
      <c r="A20" s="178"/>
      <c r="B20" s="178"/>
      <c r="C20" s="7" t="s">
        <v>110</v>
      </c>
      <c r="D20" s="39">
        <v>50</v>
      </c>
      <c r="E20" s="38" t="s">
        <v>111</v>
      </c>
      <c r="F20" s="9">
        <v>1</v>
      </c>
      <c r="G20" s="9">
        <v>1</v>
      </c>
      <c r="H20" s="9">
        <v>1</v>
      </c>
      <c r="I20" s="9">
        <v>1</v>
      </c>
      <c r="J20" s="9">
        <f>3+3</f>
        <v>6</v>
      </c>
      <c r="K20" s="9">
        <f>1+2</f>
        <v>3</v>
      </c>
      <c r="L20" s="9">
        <f>1+1+6+2+1</f>
        <v>11</v>
      </c>
      <c r="M20" s="9">
        <f>1+1+1+1+1+1+1</f>
        <v>7</v>
      </c>
      <c r="N20" s="9">
        <f>1+1+1+1+1+1</f>
        <v>6</v>
      </c>
      <c r="O20" s="9">
        <f>1+1+1+1+1+1+2</f>
        <v>8</v>
      </c>
      <c r="P20" s="9">
        <f>1+1+1+1+1+1+2+1</f>
        <v>9</v>
      </c>
      <c r="Q20" s="9">
        <f>1+1</f>
        <v>2</v>
      </c>
      <c r="R20" s="9">
        <f>+SUM(F20,G20,H20,I20,J20,K20,L20,M20,N20,O20,P20,Q20)</f>
        <v>56</v>
      </c>
      <c r="S20" s="178"/>
      <c r="T20" s="33">
        <f t="shared" si="0"/>
        <v>1.1200000000000001</v>
      </c>
      <c r="U20" s="206"/>
    </row>
    <row r="21" spans="1:21" ht="15" customHeight="1">
      <c r="A21" s="178"/>
      <c r="B21" s="178"/>
      <c r="C21" s="7" t="s">
        <v>110</v>
      </c>
      <c r="D21" s="39">
        <v>2</v>
      </c>
      <c r="E21" s="38" t="s">
        <v>112</v>
      </c>
      <c r="F21" s="9">
        <v>0</v>
      </c>
      <c r="G21" s="9">
        <v>0</v>
      </c>
      <c r="H21" s="9">
        <v>0</v>
      </c>
      <c r="I21" s="9">
        <v>0</v>
      </c>
      <c r="J21" s="9">
        <v>0</v>
      </c>
      <c r="K21" s="9">
        <v>0</v>
      </c>
      <c r="L21" s="9">
        <v>0</v>
      </c>
      <c r="M21" s="9">
        <v>0</v>
      </c>
      <c r="N21" s="9">
        <v>0</v>
      </c>
      <c r="O21" s="9">
        <v>2</v>
      </c>
      <c r="P21" s="9">
        <v>0</v>
      </c>
      <c r="Q21" s="9">
        <v>0</v>
      </c>
      <c r="R21" s="9">
        <f>MAX(F21,G21,H21,I21,J21,K21,L21,M21,N21,O21,P21,Q21)</f>
        <v>2</v>
      </c>
      <c r="S21" s="178"/>
      <c r="T21" s="33">
        <f t="shared" si="0"/>
        <v>1</v>
      </c>
      <c r="U21" s="206"/>
    </row>
    <row r="22" spans="1:21" ht="15" customHeight="1">
      <c r="A22" s="178"/>
      <c r="B22" s="178">
        <v>795</v>
      </c>
      <c r="C22" s="7" t="s">
        <v>113</v>
      </c>
      <c r="D22" s="39">
        <v>1140000</v>
      </c>
      <c r="E22" s="38" t="s">
        <v>114</v>
      </c>
      <c r="F22" s="9">
        <v>16507</v>
      </c>
      <c r="G22" s="9">
        <v>6101</v>
      </c>
      <c r="H22" s="9">
        <v>8777</v>
      </c>
      <c r="I22" s="9">
        <v>304690</v>
      </c>
      <c r="J22" s="9">
        <v>228502</v>
      </c>
      <c r="K22" s="9">
        <v>99075</v>
      </c>
      <c r="L22" s="9">
        <v>81712</v>
      </c>
      <c r="M22" s="9">
        <v>352121</v>
      </c>
      <c r="N22" s="9">
        <v>182665</v>
      </c>
      <c r="O22" s="9">
        <v>143972</v>
      </c>
      <c r="P22" s="9">
        <v>203739</v>
      </c>
      <c r="Q22" s="9">
        <v>110540</v>
      </c>
      <c r="R22" s="9">
        <f>+SUM(F22,G22,H22,I22,J22,K22,L22,M22,N22,O22,P22,Q22)</f>
        <v>1738401</v>
      </c>
      <c r="S22" s="178">
        <v>795</v>
      </c>
      <c r="T22" s="33">
        <f>+(1051971+1048011+1680645+1738401)/(D22*3.5)</f>
        <v>1.3832150375939849</v>
      </c>
      <c r="U22" s="206">
        <f>+(T22+T23+T24+T25+T26+T27+T28+T29)/8</f>
        <v>1.1237457764271732</v>
      </c>
    </row>
    <row r="23" spans="1:21" ht="12.75" customHeight="1">
      <c r="A23" s="178"/>
      <c r="B23" s="178"/>
      <c r="C23" s="7" t="s">
        <v>115</v>
      </c>
      <c r="D23" s="39">
        <v>260000</v>
      </c>
      <c r="E23" s="38" t="s">
        <v>116</v>
      </c>
      <c r="F23" s="33"/>
      <c r="G23" s="33"/>
      <c r="H23" s="33"/>
      <c r="I23" s="33"/>
      <c r="J23" s="33"/>
      <c r="K23" s="33"/>
      <c r="L23" s="33"/>
      <c r="M23" s="33"/>
      <c r="N23" s="9">
        <v>17840</v>
      </c>
      <c r="O23" s="9">
        <v>7750</v>
      </c>
      <c r="P23" s="9">
        <v>91610</v>
      </c>
      <c r="Q23" s="9">
        <v>16190</v>
      </c>
      <c r="R23" s="9">
        <f>+SUM(F23,G23,H23,I23,J23,K23,L23,M23,N23,O23,P23,Q23)</f>
        <v>133390</v>
      </c>
      <c r="S23" s="178"/>
      <c r="T23" s="33">
        <f>+(258674+278530+448820+133390)/(D23*3.5)</f>
        <v>1.2301252747252747</v>
      </c>
      <c r="U23" s="206"/>
    </row>
    <row r="24" spans="1:21" ht="12.75" customHeight="1">
      <c r="A24" s="178"/>
      <c r="B24" s="178"/>
      <c r="C24" s="7" t="s">
        <v>117</v>
      </c>
      <c r="D24" s="39">
        <v>10000</v>
      </c>
      <c r="E24" s="38" t="s">
        <v>118</v>
      </c>
      <c r="F24" s="9">
        <v>230</v>
      </c>
      <c r="G24" s="9">
        <v>212</v>
      </c>
      <c r="H24" s="9">
        <v>297</v>
      </c>
      <c r="I24" s="9">
        <v>894</v>
      </c>
      <c r="J24" s="9">
        <v>1773</v>
      </c>
      <c r="K24" s="9">
        <v>1629</v>
      </c>
      <c r="L24" s="9">
        <v>1840</v>
      </c>
      <c r="M24" s="9">
        <v>2627</v>
      </c>
      <c r="N24" s="9">
        <v>2916</v>
      </c>
      <c r="O24" s="9">
        <v>2899</v>
      </c>
      <c r="P24" s="9">
        <v>2137</v>
      </c>
      <c r="Q24" s="9">
        <v>794</v>
      </c>
      <c r="R24" s="9">
        <f>+SUM(F24,G24,H24,I24,J24,K24,L24,M24,N24,O24,P24,Q24)</f>
        <v>18248</v>
      </c>
      <c r="S24" s="178"/>
      <c r="T24" s="33">
        <f>+(9686+9658+14148+18248)/(D24*3.5)</f>
        <v>1.4782857142857142</v>
      </c>
      <c r="U24" s="206"/>
    </row>
    <row r="25" spans="1:21" ht="12.75" customHeight="1">
      <c r="A25" s="178"/>
      <c r="B25" s="178"/>
      <c r="C25" s="7" t="s">
        <v>110</v>
      </c>
      <c r="D25" s="37">
        <v>753</v>
      </c>
      <c r="E25" s="38" t="s">
        <v>119</v>
      </c>
      <c r="F25" s="9">
        <v>0</v>
      </c>
      <c r="G25" s="9">
        <v>0</v>
      </c>
      <c r="H25" s="9">
        <v>6</v>
      </c>
      <c r="I25" s="9">
        <v>67</v>
      </c>
      <c r="J25" s="9">
        <v>72</v>
      </c>
      <c r="K25" s="9">
        <v>168</v>
      </c>
      <c r="L25" s="9">
        <v>241</v>
      </c>
      <c r="M25" s="9">
        <v>78</v>
      </c>
      <c r="N25" s="9">
        <v>87</v>
      </c>
      <c r="O25" s="9">
        <v>30</v>
      </c>
      <c r="P25" s="9">
        <v>2</v>
      </c>
      <c r="Q25" s="9">
        <f>99-69</f>
        <v>30</v>
      </c>
      <c r="R25" s="9">
        <f>+SUM(F25,G25,H25,I25,J25,K25,L25,M25,N25,O25,P25,Q25)</f>
        <v>781</v>
      </c>
      <c r="S25" s="178"/>
      <c r="T25" s="33">
        <f>2535/2486</f>
        <v>1.0197103781174577</v>
      </c>
      <c r="U25" s="206"/>
    </row>
    <row r="26" spans="1:21" ht="12.75" customHeight="1">
      <c r="A26" s="178"/>
      <c r="B26" s="178"/>
      <c r="C26" s="7" t="s">
        <v>120</v>
      </c>
      <c r="D26" s="40">
        <v>0.2</v>
      </c>
      <c r="E26" s="38" t="s">
        <v>121</v>
      </c>
      <c r="F26" s="33"/>
      <c r="G26" s="33"/>
      <c r="H26" s="33"/>
      <c r="I26" s="33"/>
      <c r="J26" s="33"/>
      <c r="K26" s="33">
        <v>0.2</v>
      </c>
      <c r="L26" s="33">
        <v>0.2</v>
      </c>
      <c r="M26" s="33">
        <v>0.2</v>
      </c>
      <c r="N26" s="33">
        <v>0.2</v>
      </c>
      <c r="O26" s="33">
        <v>0.2</v>
      </c>
      <c r="P26" s="33">
        <v>0.2</v>
      </c>
      <c r="Q26" s="33">
        <v>0.2</v>
      </c>
      <c r="R26" s="33">
        <f>MAX(F26,G26,H26,I26,J26,K26,L26,M26,N26,O26,P26,Q26)</f>
        <v>0.2</v>
      </c>
      <c r="S26" s="178"/>
      <c r="T26" s="41">
        <f>+(1.02785)*(1+R26)</f>
        <v>1.23342</v>
      </c>
      <c r="U26" s="206"/>
    </row>
    <row r="27" spans="1:21" ht="12.75" customHeight="1">
      <c r="A27" s="178"/>
      <c r="B27" s="178"/>
      <c r="C27" s="42" t="s">
        <v>122</v>
      </c>
      <c r="D27" s="37">
        <v>85000</v>
      </c>
      <c r="E27" s="38" t="s">
        <v>116</v>
      </c>
      <c r="F27" s="9">
        <v>0</v>
      </c>
      <c r="G27" s="9">
        <v>603</v>
      </c>
      <c r="H27" s="9">
        <v>515</v>
      </c>
      <c r="I27" s="9">
        <v>275</v>
      </c>
      <c r="J27" s="9">
        <v>49857</v>
      </c>
      <c r="K27" s="9">
        <v>3501</v>
      </c>
      <c r="L27" s="9">
        <v>1308</v>
      </c>
      <c r="M27" s="9">
        <v>5676</v>
      </c>
      <c r="N27" s="9">
        <v>16131</v>
      </c>
      <c r="O27" s="9">
        <v>4581</v>
      </c>
      <c r="P27" s="9">
        <v>6689</v>
      </c>
      <c r="Q27" s="9">
        <v>11171</v>
      </c>
      <c r="R27" s="9">
        <f>+SUM(F27,G27,H27,I27,J27,K27,L27,M27,N27,O27,P27,Q27)</f>
        <v>100307</v>
      </c>
      <c r="S27" s="178"/>
      <c r="T27" s="33">
        <f>+(45548+65050+71165+100307)/303000</f>
        <v>0.9309240924092409</v>
      </c>
      <c r="U27" s="206"/>
    </row>
    <row r="28" spans="1:21" ht="12.75" customHeight="1">
      <c r="A28" s="178"/>
      <c r="B28" s="178"/>
      <c r="C28" s="42" t="s">
        <v>123</v>
      </c>
      <c r="D28" s="39">
        <v>10</v>
      </c>
      <c r="E28" s="38" t="s">
        <v>124</v>
      </c>
      <c r="F28" s="9">
        <v>0</v>
      </c>
      <c r="G28" s="9">
        <v>0</v>
      </c>
      <c r="H28" s="9">
        <v>0</v>
      </c>
      <c r="I28" s="9">
        <v>0</v>
      </c>
      <c r="J28" s="9">
        <v>0</v>
      </c>
      <c r="K28" s="9">
        <v>0</v>
      </c>
      <c r="L28" s="9">
        <v>10</v>
      </c>
      <c r="M28" s="9">
        <v>0</v>
      </c>
      <c r="N28" s="9">
        <v>0</v>
      </c>
      <c r="O28" s="9">
        <v>0</v>
      </c>
      <c r="P28" s="9">
        <v>0</v>
      </c>
      <c r="Q28" s="9">
        <v>0</v>
      </c>
      <c r="R28" s="9">
        <f>MAX(F28,G28,H28,I28,J28,K28,L28,M28,N28,O28,P28,Q28)</f>
        <v>10</v>
      </c>
      <c r="S28" s="178"/>
      <c r="T28" s="33">
        <f>+R28/D28</f>
        <v>1</v>
      </c>
      <c r="U28" s="206"/>
    </row>
    <row r="29" spans="1:21" ht="12.75" customHeight="1">
      <c r="A29" s="178"/>
      <c r="B29" s="178"/>
      <c r="C29" s="42" t="s">
        <v>125</v>
      </c>
      <c r="D29" s="39">
        <v>5</v>
      </c>
      <c r="E29" s="38" t="s">
        <v>126</v>
      </c>
      <c r="F29" s="33"/>
      <c r="G29" s="33"/>
      <c r="H29" s="9">
        <v>3</v>
      </c>
      <c r="I29" s="9">
        <v>3</v>
      </c>
      <c r="J29" s="9">
        <v>4</v>
      </c>
      <c r="K29" s="9">
        <v>5</v>
      </c>
      <c r="L29" s="9">
        <v>5</v>
      </c>
      <c r="M29" s="9">
        <v>5</v>
      </c>
      <c r="N29" s="9">
        <v>0</v>
      </c>
      <c r="O29" s="9">
        <v>0</v>
      </c>
      <c r="P29" s="9">
        <v>0</v>
      </c>
      <c r="Q29" s="9">
        <v>5</v>
      </c>
      <c r="R29" s="9">
        <f>MAX(F29,G29,H29,I29,J29,K29,L29,M29,N29,O29,P29,Q29)</f>
        <v>5</v>
      </c>
      <c r="S29" s="178"/>
      <c r="T29" s="33">
        <f>+D29/7</f>
        <v>0.7142857142857143</v>
      </c>
      <c r="U29" s="206"/>
    </row>
    <row r="30" spans="1:21" ht="12.75" customHeight="1">
      <c r="A30" s="178"/>
      <c r="B30" s="178">
        <v>783</v>
      </c>
      <c r="C30" s="42" t="s">
        <v>127</v>
      </c>
      <c r="D30" s="37">
        <v>2</v>
      </c>
      <c r="E30" s="38" t="s">
        <v>128</v>
      </c>
      <c r="F30" s="9">
        <v>2</v>
      </c>
      <c r="G30" s="9">
        <v>2</v>
      </c>
      <c r="H30" s="9">
        <v>2</v>
      </c>
      <c r="I30" s="9">
        <v>2</v>
      </c>
      <c r="J30" s="9">
        <v>2</v>
      </c>
      <c r="K30" s="9">
        <v>2</v>
      </c>
      <c r="L30" s="9">
        <v>2</v>
      </c>
      <c r="M30" s="9">
        <v>2</v>
      </c>
      <c r="N30" s="9">
        <v>2</v>
      </c>
      <c r="O30" s="9">
        <v>2</v>
      </c>
      <c r="P30" s="9">
        <v>2</v>
      </c>
      <c r="Q30" s="9">
        <v>2</v>
      </c>
      <c r="R30" s="9">
        <f>MAX(F30,G30,H30,I30,J30,K30,L30,M30,N30,O30,P30,Q30)</f>
        <v>2</v>
      </c>
      <c r="S30" s="178">
        <v>783</v>
      </c>
      <c r="T30" s="33">
        <f>+R30/D30</f>
        <v>1</v>
      </c>
      <c r="U30" s="206">
        <f>+(T30+T31+T32+T33+T34)/5</f>
        <v>1.2951841360544218</v>
      </c>
    </row>
    <row r="31" spans="1:21" ht="12.75" customHeight="1">
      <c r="A31" s="178"/>
      <c r="B31" s="178"/>
      <c r="C31" s="7" t="s">
        <v>129</v>
      </c>
      <c r="D31" s="43">
        <v>0.4</v>
      </c>
      <c r="E31" s="38" t="s">
        <v>130</v>
      </c>
      <c r="F31" s="33">
        <v>0</v>
      </c>
      <c r="G31" s="33">
        <v>0</v>
      </c>
      <c r="H31" s="33">
        <v>0.316</v>
      </c>
      <c r="I31" s="33">
        <v>0.3271</v>
      </c>
      <c r="J31" s="33">
        <v>0.3372</v>
      </c>
      <c r="K31" s="33">
        <v>0.3407</v>
      </c>
      <c r="L31" s="33">
        <v>0.3402</v>
      </c>
      <c r="M31" s="33">
        <v>0.3478</v>
      </c>
      <c r="N31" s="33">
        <v>0.35</v>
      </c>
      <c r="O31" s="33">
        <v>0.37</v>
      </c>
      <c r="P31" s="33">
        <v>0.37</v>
      </c>
      <c r="Q31" s="33">
        <v>0.375</v>
      </c>
      <c r="R31" s="33">
        <f>MAX(F31,G31,H31,I31,J31,K31,L31,M31,N31,O31,P31,Q31)</f>
        <v>0.375</v>
      </c>
      <c r="S31" s="178"/>
      <c r="T31" s="33">
        <f>+R31/D31</f>
        <v>0.9375</v>
      </c>
      <c r="U31" s="206"/>
    </row>
    <row r="32" spans="1:21" ht="49.7" customHeight="1">
      <c r="A32" s="178"/>
      <c r="B32" s="178"/>
      <c r="C32" s="42" t="s">
        <v>131</v>
      </c>
      <c r="D32" s="37">
        <v>300000</v>
      </c>
      <c r="E32" s="38" t="s">
        <v>116</v>
      </c>
      <c r="F32" s="9">
        <v>29366</v>
      </c>
      <c r="G32" s="9">
        <v>19875</v>
      </c>
      <c r="H32" s="9">
        <v>36068</v>
      </c>
      <c r="I32" s="9">
        <v>32406</v>
      </c>
      <c r="J32" s="9">
        <v>29763</v>
      </c>
      <c r="K32" s="9">
        <v>41984</v>
      </c>
      <c r="L32" s="9">
        <v>43561</v>
      </c>
      <c r="M32" s="9">
        <v>43574</v>
      </c>
      <c r="N32" s="9">
        <v>33375</v>
      </c>
      <c r="O32" s="9">
        <v>50811</v>
      </c>
      <c r="P32" s="9">
        <v>28019</v>
      </c>
      <c r="Q32" s="9">
        <v>28949</v>
      </c>
      <c r="R32" s="9">
        <f>+SUM(F32,G32,H32,I32,J32,K32,L32,M32,N32,O32,P32,Q32)</f>
        <v>417751</v>
      </c>
      <c r="S32" s="178"/>
      <c r="T32" s="33">
        <f>+R32/D32</f>
        <v>1.3925033333333334</v>
      </c>
      <c r="U32" s="206"/>
    </row>
    <row r="33" spans="1:21" ht="12.75" customHeight="1">
      <c r="A33" s="178"/>
      <c r="B33" s="178"/>
      <c r="C33" s="42" t="s">
        <v>132</v>
      </c>
      <c r="D33" s="37">
        <v>280000</v>
      </c>
      <c r="E33" s="38" t="s">
        <v>116</v>
      </c>
      <c r="F33" s="9">
        <v>5811</v>
      </c>
      <c r="G33" s="9">
        <v>15196</v>
      </c>
      <c r="H33" s="9">
        <v>18669</v>
      </c>
      <c r="I33" s="9">
        <v>85315</v>
      </c>
      <c r="J33" s="9">
        <v>52353</v>
      </c>
      <c r="K33" s="9">
        <v>31566</v>
      </c>
      <c r="L33" s="9">
        <v>45581</v>
      </c>
      <c r="M33" s="9">
        <v>44789</v>
      </c>
      <c r="N33" s="9">
        <v>48919</v>
      </c>
      <c r="O33" s="9">
        <v>44770</v>
      </c>
      <c r="P33" s="9">
        <v>53737</v>
      </c>
      <c r="Q33" s="9">
        <v>43517</v>
      </c>
      <c r="R33" s="9">
        <f>+SUM(F33,G33,H33,I33,J33,K33,L33,M33,N33,O33,P33,Q33)</f>
        <v>490223</v>
      </c>
      <c r="S33" s="178"/>
      <c r="T33" s="33">
        <f>+(277543+489625+437144+490223)/(D33*3.5)</f>
        <v>1.7291173469387755</v>
      </c>
      <c r="U33" s="206"/>
    </row>
    <row r="34" spans="1:21" ht="12.75" customHeight="1">
      <c r="A34" s="178"/>
      <c r="B34" s="178"/>
      <c r="C34" s="7" t="s">
        <v>117</v>
      </c>
      <c r="D34" s="37">
        <v>2500</v>
      </c>
      <c r="E34" s="38" t="s">
        <v>133</v>
      </c>
      <c r="F34" s="9">
        <v>160</v>
      </c>
      <c r="G34" s="9">
        <v>206</v>
      </c>
      <c r="H34" s="9">
        <v>387</v>
      </c>
      <c r="I34" s="9">
        <v>349</v>
      </c>
      <c r="J34" s="9">
        <v>403</v>
      </c>
      <c r="K34" s="9">
        <v>515</v>
      </c>
      <c r="L34" s="9">
        <v>549</v>
      </c>
      <c r="M34" s="9">
        <v>492</v>
      </c>
      <c r="N34" s="9">
        <v>478</v>
      </c>
      <c r="O34" s="9">
        <v>551</v>
      </c>
      <c r="P34" s="9">
        <v>470</v>
      </c>
      <c r="Q34" s="9">
        <v>552</v>
      </c>
      <c r="R34" s="9">
        <f>+SUM(F34,G34,H34,I34,J34,K34,L34,M34,N34,O34,P34,Q34)</f>
        <v>5112</v>
      </c>
      <c r="S34" s="178"/>
      <c r="T34" s="33">
        <f>+(688+2846+3751+R34)/(D34*3.5)</f>
        <v>1.4168000000000001</v>
      </c>
      <c r="U34" s="206"/>
    </row>
    <row r="35" spans="1:21" ht="12.75" customHeight="1">
      <c r="A35" s="178"/>
      <c r="B35" s="178">
        <v>792</v>
      </c>
      <c r="C35" s="7" t="s">
        <v>134</v>
      </c>
      <c r="D35" s="39">
        <v>8</v>
      </c>
      <c r="E35" s="38" t="s">
        <v>135</v>
      </c>
      <c r="F35" s="9">
        <v>8</v>
      </c>
      <c r="G35" s="9">
        <v>8</v>
      </c>
      <c r="H35" s="9">
        <v>8</v>
      </c>
      <c r="I35" s="9">
        <v>8</v>
      </c>
      <c r="J35" s="9">
        <v>8</v>
      </c>
      <c r="K35" s="9">
        <v>8</v>
      </c>
      <c r="L35" s="9">
        <v>8</v>
      </c>
      <c r="M35" s="9">
        <v>8</v>
      </c>
      <c r="N35" s="9">
        <v>8</v>
      </c>
      <c r="O35" s="9">
        <v>8</v>
      </c>
      <c r="P35" s="9">
        <v>8</v>
      </c>
      <c r="Q35" s="9">
        <v>8</v>
      </c>
      <c r="R35" s="9">
        <f>MAX(F35,G35,H35,I35,J35,K35,L35,M35,N35,O35,P35,Q35)</f>
        <v>8</v>
      </c>
      <c r="S35" s="178">
        <v>792</v>
      </c>
      <c r="T35" s="33">
        <f>+R35/D35</f>
        <v>1</v>
      </c>
      <c r="U35" s="206">
        <f>+(T35+T36+T37+T38)/4</f>
        <v>0.75</v>
      </c>
    </row>
    <row r="36" spans="1:21" ht="12.75" customHeight="1">
      <c r="A36" s="178"/>
      <c r="B36" s="178"/>
      <c r="C36" s="7" t="s">
        <v>134</v>
      </c>
      <c r="D36" s="39">
        <v>2</v>
      </c>
      <c r="E36" s="38" t="s">
        <v>136</v>
      </c>
      <c r="F36" s="9">
        <v>2</v>
      </c>
      <c r="G36" s="9">
        <v>2</v>
      </c>
      <c r="H36" s="9">
        <v>2</v>
      </c>
      <c r="I36" s="9">
        <v>2</v>
      </c>
      <c r="J36" s="9">
        <v>2</v>
      </c>
      <c r="K36" s="9">
        <v>2</v>
      </c>
      <c r="L36" s="9">
        <v>2</v>
      </c>
      <c r="M36" s="9">
        <v>2</v>
      </c>
      <c r="N36" s="9">
        <v>2</v>
      </c>
      <c r="O36" s="9">
        <v>2</v>
      </c>
      <c r="P36" s="9">
        <v>2</v>
      </c>
      <c r="Q36" s="9">
        <v>2</v>
      </c>
      <c r="R36" s="9">
        <f>MAX(F36,G36,H36,I36,J36,K36,L36,M36,N36,O36,P36,Q36)</f>
        <v>2</v>
      </c>
      <c r="S36" s="178"/>
      <c r="T36" s="33">
        <f>+R36/D36</f>
        <v>1</v>
      </c>
      <c r="U36" s="206"/>
    </row>
    <row r="37" spans="1:21" ht="12.75" customHeight="1">
      <c r="A37" s="178"/>
      <c r="B37" s="178"/>
      <c r="C37" s="7" t="s">
        <v>137</v>
      </c>
      <c r="D37" s="43">
        <v>0.5</v>
      </c>
      <c r="E37" s="38" t="s">
        <v>138</v>
      </c>
      <c r="F37" s="33">
        <v>0</v>
      </c>
      <c r="G37" s="33">
        <v>0</v>
      </c>
      <c r="H37" s="33">
        <v>0.25</v>
      </c>
      <c r="I37" s="33">
        <v>0.25</v>
      </c>
      <c r="J37" s="33">
        <v>0.25</v>
      </c>
      <c r="K37" s="33">
        <v>0.25</v>
      </c>
      <c r="L37" s="33">
        <v>0.25</v>
      </c>
      <c r="M37" s="33">
        <v>0.25</v>
      </c>
      <c r="N37" s="33">
        <v>0.25</v>
      </c>
      <c r="O37" s="33">
        <v>0.30000000000000004</v>
      </c>
      <c r="P37" s="33">
        <v>0.30000000000000004</v>
      </c>
      <c r="Q37" s="33">
        <v>0.30000000000000004</v>
      </c>
      <c r="R37" s="33">
        <f>MAX(F37,G37,H37,I37,J37,K37,L37,M37,N37,O37,P37,Q37)</f>
        <v>0.30000000000000004</v>
      </c>
      <c r="S37" s="178"/>
      <c r="T37" s="33">
        <f>+R37/D37</f>
        <v>0.60000000000000009</v>
      </c>
      <c r="U37" s="206"/>
    </row>
    <row r="38" spans="1:21" ht="12.75" customHeight="1">
      <c r="A38" s="178"/>
      <c r="B38" s="178"/>
      <c r="C38" s="42" t="s">
        <v>139</v>
      </c>
      <c r="D38" s="39">
        <v>1</v>
      </c>
      <c r="E38" s="38" t="s">
        <v>140</v>
      </c>
      <c r="F38" s="33">
        <v>0</v>
      </c>
      <c r="G38" s="33">
        <v>0</v>
      </c>
      <c r="H38" s="33">
        <v>0</v>
      </c>
      <c r="I38" s="33">
        <v>0</v>
      </c>
      <c r="J38" s="33">
        <v>0</v>
      </c>
      <c r="K38" s="33">
        <v>0.2</v>
      </c>
      <c r="L38" s="33">
        <v>0.2</v>
      </c>
      <c r="M38" s="33">
        <v>0.2</v>
      </c>
      <c r="N38" s="33">
        <v>0.4</v>
      </c>
      <c r="O38" s="33">
        <v>0.4</v>
      </c>
      <c r="P38" s="33">
        <v>0.4</v>
      </c>
      <c r="Q38" s="33">
        <v>0.4</v>
      </c>
      <c r="R38" s="33">
        <f>MAX(F38,G38,H38,I38,J38,K38,L38,M38,N38,O38,P38,Q38)</f>
        <v>0.4</v>
      </c>
      <c r="S38" s="178"/>
      <c r="T38" s="33">
        <f>+R38/D38</f>
        <v>0.4</v>
      </c>
      <c r="U38" s="206"/>
    </row>
    <row r="39" spans="1:21" ht="12.75" customHeight="1">
      <c r="A39" s="178"/>
      <c r="B39" s="7">
        <v>787</v>
      </c>
      <c r="C39" s="7" t="s">
        <v>141</v>
      </c>
      <c r="D39" s="39">
        <v>1</v>
      </c>
      <c r="E39" s="38" t="s">
        <v>142</v>
      </c>
      <c r="F39" s="9">
        <v>0</v>
      </c>
      <c r="G39" s="9">
        <v>0</v>
      </c>
      <c r="H39" s="9">
        <v>0</v>
      </c>
      <c r="I39" s="9">
        <v>0</v>
      </c>
      <c r="J39" s="9">
        <v>0</v>
      </c>
      <c r="K39" s="44">
        <v>1</v>
      </c>
      <c r="L39" s="44">
        <v>0</v>
      </c>
      <c r="M39" s="44">
        <v>0</v>
      </c>
      <c r="N39" s="44">
        <v>1</v>
      </c>
      <c r="O39" s="44">
        <v>1</v>
      </c>
      <c r="P39" s="44">
        <v>1</v>
      </c>
      <c r="Q39" s="44">
        <v>1</v>
      </c>
      <c r="R39" s="44">
        <v>1</v>
      </c>
      <c r="S39" s="7">
        <v>787</v>
      </c>
      <c r="T39" s="33">
        <f>5/6</f>
        <v>0.83333333333333337</v>
      </c>
      <c r="U39" s="33">
        <f>+T39</f>
        <v>0.83333333333333337</v>
      </c>
    </row>
    <row r="40" spans="1:21" ht="12.75" customHeight="1">
      <c r="A40" s="178"/>
      <c r="B40" s="178">
        <v>944</v>
      </c>
      <c r="C40" s="7" t="s">
        <v>143</v>
      </c>
      <c r="D40" s="39">
        <v>6</v>
      </c>
      <c r="E40" s="38" t="s">
        <v>144</v>
      </c>
      <c r="F40" s="9">
        <v>0</v>
      </c>
      <c r="G40" s="9">
        <v>2</v>
      </c>
      <c r="H40" s="9">
        <v>2</v>
      </c>
      <c r="I40" s="9">
        <v>2</v>
      </c>
      <c r="J40" s="9">
        <v>3</v>
      </c>
      <c r="K40" s="9">
        <v>4</v>
      </c>
      <c r="L40" s="9">
        <v>4</v>
      </c>
      <c r="M40" s="9">
        <v>5</v>
      </c>
      <c r="N40" s="9">
        <v>5</v>
      </c>
      <c r="O40" s="9">
        <v>5</v>
      </c>
      <c r="P40" s="9">
        <v>6</v>
      </c>
      <c r="Q40" s="9">
        <v>6</v>
      </c>
      <c r="R40" s="9">
        <f>MAX(F40,G40,H40,I40,J40,K40,L40,M40,N40,O40,P40,Q40)</f>
        <v>6</v>
      </c>
      <c r="S40" s="178">
        <v>944</v>
      </c>
      <c r="T40" s="33">
        <f>+R40/D40</f>
        <v>1</v>
      </c>
      <c r="U40" s="206">
        <f>+T40</f>
        <v>1</v>
      </c>
    </row>
    <row r="41" spans="1:21" ht="12.75" customHeight="1">
      <c r="A41" s="178"/>
      <c r="B41" s="178"/>
      <c r="C41" s="7" t="s">
        <v>145</v>
      </c>
      <c r="D41" s="37">
        <v>2800</v>
      </c>
      <c r="E41" s="38" t="s">
        <v>116</v>
      </c>
      <c r="F41" s="9">
        <v>0</v>
      </c>
      <c r="G41" s="9">
        <v>0</v>
      </c>
      <c r="H41" s="9">
        <v>0</v>
      </c>
      <c r="I41" s="9">
        <v>0</v>
      </c>
      <c r="J41" s="9">
        <v>0</v>
      </c>
      <c r="K41" s="9">
        <f>9+21</f>
        <v>30</v>
      </c>
      <c r="L41" s="9">
        <v>0</v>
      </c>
      <c r="M41" s="9">
        <v>0</v>
      </c>
      <c r="N41" s="9">
        <v>0</v>
      </c>
      <c r="O41" s="9">
        <v>0</v>
      </c>
      <c r="P41" s="9">
        <v>0</v>
      </c>
      <c r="Q41" s="9">
        <v>0</v>
      </c>
      <c r="R41" s="9" t="s">
        <v>146</v>
      </c>
      <c r="S41" s="178"/>
      <c r="T41" s="33">
        <v>0</v>
      </c>
      <c r="U41" s="206"/>
    </row>
    <row r="42" spans="1:21" ht="12.75" customHeight="1">
      <c r="A42" s="178"/>
      <c r="B42" s="178"/>
      <c r="C42" s="7" t="s">
        <v>147</v>
      </c>
      <c r="D42" s="39">
        <v>1</v>
      </c>
      <c r="E42" s="38" t="s">
        <v>148</v>
      </c>
      <c r="F42" s="9">
        <v>0</v>
      </c>
      <c r="G42" s="9">
        <v>0</v>
      </c>
      <c r="H42" s="9">
        <v>0</v>
      </c>
      <c r="I42" s="9">
        <v>0</v>
      </c>
      <c r="J42" s="9">
        <v>0</v>
      </c>
      <c r="K42" s="9">
        <v>0</v>
      </c>
      <c r="L42" s="9">
        <v>0</v>
      </c>
      <c r="M42" s="9">
        <v>0</v>
      </c>
      <c r="N42" s="9">
        <v>0</v>
      </c>
      <c r="O42" s="9">
        <v>0</v>
      </c>
      <c r="P42" s="9">
        <v>0</v>
      </c>
      <c r="Q42" s="9">
        <v>0</v>
      </c>
      <c r="R42" s="9" t="s">
        <v>146</v>
      </c>
      <c r="S42" s="178"/>
      <c r="T42" s="33">
        <v>0</v>
      </c>
      <c r="U42" s="206"/>
    </row>
    <row r="43" spans="1:21" ht="12.75" customHeight="1">
      <c r="A43" s="178"/>
      <c r="B43" s="178">
        <v>784</v>
      </c>
      <c r="C43" s="7" t="s">
        <v>149</v>
      </c>
      <c r="D43" s="39">
        <v>1</v>
      </c>
      <c r="E43" s="38" t="s">
        <v>150</v>
      </c>
      <c r="F43" s="9">
        <v>1</v>
      </c>
      <c r="G43" s="9">
        <v>1</v>
      </c>
      <c r="H43" s="9">
        <v>1</v>
      </c>
      <c r="I43" s="9">
        <v>1</v>
      </c>
      <c r="J43" s="9">
        <v>1</v>
      </c>
      <c r="K43" s="9">
        <v>1</v>
      </c>
      <c r="L43" s="9">
        <v>1</v>
      </c>
      <c r="M43" s="9">
        <v>1</v>
      </c>
      <c r="N43" s="9">
        <v>1</v>
      </c>
      <c r="O43" s="9">
        <v>1</v>
      </c>
      <c r="P43" s="9">
        <v>1</v>
      </c>
      <c r="Q43" s="9">
        <v>1</v>
      </c>
      <c r="R43" s="9">
        <f>MAX(F43,G43,H43,I43,J43,K43,L43,M43,N43,O43,P43,Q43)</f>
        <v>1</v>
      </c>
      <c r="S43" s="178">
        <v>784</v>
      </c>
      <c r="T43" s="33">
        <f>+R43/D43</f>
        <v>1</v>
      </c>
      <c r="U43" s="206">
        <f>+(T43+T44+T45)/3</f>
        <v>0.82500000000000007</v>
      </c>
    </row>
    <row r="44" spans="1:21" ht="12.75" customHeight="1">
      <c r="A44" s="178"/>
      <c r="B44" s="178"/>
      <c r="C44" s="7" t="s">
        <v>151</v>
      </c>
      <c r="D44" s="37">
        <v>2</v>
      </c>
      <c r="E44" s="38" t="s">
        <v>152</v>
      </c>
      <c r="F44" s="9">
        <v>1</v>
      </c>
      <c r="G44" s="9">
        <v>1</v>
      </c>
      <c r="H44" s="9">
        <v>1</v>
      </c>
      <c r="I44" s="9">
        <v>1</v>
      </c>
      <c r="J44" s="9">
        <v>1</v>
      </c>
      <c r="K44" s="9">
        <v>1</v>
      </c>
      <c r="L44" s="9">
        <v>1</v>
      </c>
      <c r="M44" s="9">
        <v>1</v>
      </c>
      <c r="N44" s="9">
        <v>1</v>
      </c>
      <c r="O44" s="9">
        <v>1</v>
      </c>
      <c r="P44" s="9">
        <v>1</v>
      </c>
      <c r="Q44" s="9">
        <v>1</v>
      </c>
      <c r="R44" s="9">
        <f>MAX(F44,G44,H44,I44,J44,K44,L44,M44,N44,O44,P44,Q44)</f>
        <v>1</v>
      </c>
      <c r="S44" s="178"/>
      <c r="T44" s="33">
        <f>+R44/D44</f>
        <v>0.5</v>
      </c>
      <c r="U44" s="206"/>
    </row>
    <row r="45" spans="1:21" ht="12.75" customHeight="1">
      <c r="A45" s="178"/>
      <c r="B45" s="178"/>
      <c r="C45" s="7" t="s">
        <v>153</v>
      </c>
      <c r="D45" s="43">
        <v>0.8</v>
      </c>
      <c r="E45" s="38" t="s">
        <v>154</v>
      </c>
      <c r="F45" s="33">
        <v>0</v>
      </c>
      <c r="G45" s="33">
        <v>0</v>
      </c>
      <c r="H45" s="33">
        <v>0.62</v>
      </c>
      <c r="I45" s="33">
        <v>0.62</v>
      </c>
      <c r="J45" s="33">
        <v>0.62</v>
      </c>
      <c r="K45" s="33">
        <v>0.68149999999999999</v>
      </c>
      <c r="L45" s="33">
        <v>0</v>
      </c>
      <c r="M45" s="33">
        <v>0</v>
      </c>
      <c r="N45" s="33">
        <v>0.71399999999999997</v>
      </c>
      <c r="O45" s="33">
        <v>0.71140000000000003</v>
      </c>
      <c r="P45" s="33">
        <v>0.71399999999999997</v>
      </c>
      <c r="Q45" s="33">
        <v>0.78</v>
      </c>
      <c r="R45" s="33">
        <f>MAX(F45,G45,H45,I45,J45,K45,L45,M45,N45,O45,P45,Q45)</f>
        <v>0.78</v>
      </c>
      <c r="S45" s="178"/>
      <c r="T45" s="33">
        <f>+R45/D45</f>
        <v>0.97499999999999998</v>
      </c>
      <c r="U45" s="206"/>
    </row>
    <row r="46" spans="1:21" ht="12.75" customHeight="1">
      <c r="A46" s="178"/>
      <c r="B46" s="178">
        <v>794</v>
      </c>
      <c r="C46" s="7" t="s">
        <v>113</v>
      </c>
      <c r="D46" s="37">
        <v>1000000</v>
      </c>
      <c r="E46" s="38" t="s">
        <v>155</v>
      </c>
      <c r="F46" s="9">
        <v>1010300</v>
      </c>
      <c r="G46" s="9">
        <v>1010300</v>
      </c>
      <c r="H46" s="9">
        <v>1049018</v>
      </c>
      <c r="I46" s="9">
        <v>1084387</v>
      </c>
      <c r="J46" s="9">
        <v>1115045</v>
      </c>
      <c r="K46" s="9">
        <v>1156058</v>
      </c>
      <c r="L46" s="9">
        <v>1196407</v>
      </c>
      <c r="M46" s="9">
        <v>1202800</v>
      </c>
      <c r="N46" s="9">
        <v>1264780</v>
      </c>
      <c r="O46" s="9">
        <v>1307239</v>
      </c>
      <c r="P46" s="9">
        <v>1352792</v>
      </c>
      <c r="Q46" s="9">
        <v>1368800</v>
      </c>
      <c r="R46" s="9">
        <f>MAX(F46,G46,H46,I46,J46,K46,L46,M46,N46,O46,P46,Q46)</f>
        <v>1368800</v>
      </c>
      <c r="S46" s="178">
        <v>794</v>
      </c>
      <c r="T46" s="33">
        <f>+(8332+615155+986126+1368800)/(D46*3.5)</f>
        <v>0.85097514285714282</v>
      </c>
      <c r="U46" s="206">
        <f>+(T46+T47+T48)/3</f>
        <v>1.0768012380952381</v>
      </c>
    </row>
    <row r="47" spans="1:21" ht="12.75" customHeight="1">
      <c r="A47" s="178"/>
      <c r="B47" s="178"/>
      <c r="C47" s="7" t="s">
        <v>113</v>
      </c>
      <c r="D47" s="37">
        <v>3000</v>
      </c>
      <c r="E47" s="38" t="s">
        <v>156</v>
      </c>
      <c r="F47" s="9">
        <v>73</v>
      </c>
      <c r="G47" s="9">
        <v>87</v>
      </c>
      <c r="H47" s="9">
        <v>146</v>
      </c>
      <c r="I47" s="9">
        <v>130</v>
      </c>
      <c r="J47" s="9">
        <v>332</v>
      </c>
      <c r="K47" s="9">
        <v>466</v>
      </c>
      <c r="L47" s="9">
        <v>430</v>
      </c>
      <c r="M47" s="9">
        <v>1189</v>
      </c>
      <c r="N47" s="9">
        <v>871</v>
      </c>
      <c r="O47" s="9">
        <v>878</v>
      </c>
      <c r="P47" s="9">
        <v>836</v>
      </c>
      <c r="Q47" s="9">
        <v>644</v>
      </c>
      <c r="R47" s="9">
        <f>+SUM(F47,G47,H47,I47,J47,K47,L47,M47,N47,O47,P47,Q47)</f>
        <v>6082</v>
      </c>
      <c r="S47" s="178"/>
      <c r="T47" s="33">
        <f>+(1852+2855+3695+6082)/(D47*3.5)</f>
        <v>1.3794285714285714</v>
      </c>
      <c r="U47" s="206"/>
    </row>
    <row r="48" spans="1:21" ht="12.75" customHeight="1">
      <c r="A48" s="178"/>
      <c r="B48" s="178"/>
      <c r="C48" s="7" t="s">
        <v>157</v>
      </c>
      <c r="D48" s="37">
        <v>1</v>
      </c>
      <c r="E48" s="38" t="s">
        <v>158</v>
      </c>
      <c r="F48" s="9">
        <v>1</v>
      </c>
      <c r="G48" s="9">
        <v>1</v>
      </c>
      <c r="H48" s="9">
        <v>1</v>
      </c>
      <c r="I48" s="9">
        <v>1</v>
      </c>
      <c r="J48" s="9">
        <v>1</v>
      </c>
      <c r="K48" s="9">
        <v>1</v>
      </c>
      <c r="L48" s="9">
        <v>1</v>
      </c>
      <c r="M48" s="9">
        <v>1</v>
      </c>
      <c r="N48" s="9">
        <v>1</v>
      </c>
      <c r="O48" s="9">
        <v>1</v>
      </c>
      <c r="P48" s="9">
        <v>1</v>
      </c>
      <c r="Q48" s="9">
        <v>1</v>
      </c>
      <c r="R48" s="9">
        <f>MAX(F48,G48,H48,I48,J48,K48,L48,M48,N48,O48,P48,Q48)</f>
        <v>1</v>
      </c>
      <c r="S48" s="178"/>
      <c r="T48" s="33">
        <f>+R48/D48</f>
        <v>1</v>
      </c>
      <c r="U48" s="206"/>
    </row>
    <row r="49" spans="1:21" ht="12.75" customHeight="1">
      <c r="A49" s="178"/>
      <c r="B49" s="178" t="s">
        <v>159</v>
      </c>
      <c r="C49" s="178"/>
      <c r="D49" s="178"/>
      <c r="E49" s="178"/>
      <c r="F49" s="45"/>
      <c r="G49" s="45"/>
      <c r="H49" s="45"/>
      <c r="I49" s="45"/>
      <c r="J49" s="45"/>
      <c r="K49" s="45"/>
      <c r="L49" s="45"/>
      <c r="M49" s="45"/>
      <c r="N49" s="45"/>
      <c r="O49" s="45">
        <f>+(O15/D15+O16/D16+O17/D17+O18/D18+O19/D19+O20/D20+O21/$D$21+O22/$D$22+O23/$D$23+O24/$D$24+O25/$D$25+O26/$D$26+O27/$D$27+O28/$D$28+O29/$D$29+O30/$D$30+O31/$D$31+O32/$D$32+O33/$D$33+O34/$D$34+O35/$D$35+O36/$D$36+O37/$D$37+O38/$D$38+O39/$D$39+O40/$D$40+O41/$D$41+O42/$D$42+O43/$D$43+O44/$D$44+O45/$D$45+O46/$D$46+O47/$D$47+O48/$D$48)/34</f>
        <v>0.5413114507218465</v>
      </c>
      <c r="P49" s="45">
        <f>+(P15/$D$15+P16/$D$16+P17/$D$17+P18/$D$18+P19/$D$19+P20/$D$20+P21/$D$21+P22/$D$22+P23/$D$23+P24/$D$24+P25/$D$25+P26/$D$26+P27/$D$27+P28/$D$28+P29/$D$29+P30/$D$30+P31/$D$31+P32/$D$32+P33/$D$33+P34/$D$34+P35/$D$35+P36/$D$36+P37/$D$37+P38/$D$38+P39/$D$39+P40/$D$40+P41/$D$41+P42/$D$42+P43/$D$43+P44/$D$44+P45/$D$45+P46/$D$46+P47/$D$47+P48/$D$48)/34</f>
        <v>0.53558128920927395</v>
      </c>
      <c r="Q49" s="45">
        <f>+(Q15/$D$15+Q16/$D$16+Q17/$D$17+Q18/$D$18+Q19/$D$19+Q20/$D$20+Q21/$D$21+Q22/$D$22+Q23/$D$23+Q24/$D$24+Q25/$D$25+Q26/$D$26+Q27/$D$27+Q28/$D$28+Q29/$D$29+Q30/$D$30+Q31/$D$31+Q32/$D$32+Q33/$D$33+Q34/$D$34+Q35/$D$35+Q36/$D$36+Q37/$D$37+Q38/$D$38+Q39/$D$39+Q40/$D$40+Q41/$D$41+Q42/$D$42+Q43/$D$43+Q44/$D$44+Q45/$D$45+Q46/$D$46+Q47/$D$47+Q48/$D$48)/34</f>
        <v>0.55233532529878238</v>
      </c>
      <c r="R49" s="45" t="e">
        <f>+(R15/$D$15+R16/$D$16+R17/$D$17+R18/$D$18+R19/$D$19+R20/$D$20+R21/$D$21+R22/$D$22+R23/$D$23+R24/$D$24+R25/$D$25+R26/$D$26+R27/$D$27+R28/$D$28+R29/$D$29+R30/$D$30+R31/$D$31+R32/$D$32+R33/$D$33+R34/$D$34+R35/$D$35+R36/$D$36+R37/$D$37+R38/$D$38+R39/$D$39+R40/$D$40+R41/$D$41+R42/$D$42+R43/$D$43+R44/$D$44+R45/$D$45+R46/$D$46+R47/$D$47+R48/$D$48)/34</f>
        <v>#VALUE!</v>
      </c>
      <c r="S49" s="205">
        <f>SUM(T15:T48)/34</f>
        <v>0.96525820095330539</v>
      </c>
      <c r="T49" s="205"/>
      <c r="U49" s="205"/>
    </row>
    <row r="50" spans="1:21" ht="12.75" customHeight="1">
      <c r="A50" s="178"/>
      <c r="B50" s="178" t="s">
        <v>160</v>
      </c>
      <c r="C50" s="178"/>
      <c r="D50" s="178"/>
      <c r="E50" s="178"/>
      <c r="F50" s="45">
        <f>+F49</f>
        <v>0</v>
      </c>
      <c r="G50" s="45">
        <f t="shared" ref="G50:N50" si="1">+F49+G49</f>
        <v>0</v>
      </c>
      <c r="H50" s="45">
        <f t="shared" si="1"/>
        <v>0</v>
      </c>
      <c r="I50" s="45">
        <f t="shared" si="1"/>
        <v>0</v>
      </c>
      <c r="J50" s="45">
        <f t="shared" si="1"/>
        <v>0</v>
      </c>
      <c r="K50" s="45">
        <f t="shared" si="1"/>
        <v>0</v>
      </c>
      <c r="L50" s="45">
        <f t="shared" si="1"/>
        <v>0</v>
      </c>
      <c r="M50" s="45">
        <f t="shared" si="1"/>
        <v>0</v>
      </c>
      <c r="N50" s="45">
        <f t="shared" si="1"/>
        <v>0</v>
      </c>
      <c r="O50" s="45">
        <f>+O49-N49</f>
        <v>0.5413114507218465</v>
      </c>
      <c r="P50" s="45">
        <f>+P49-O49</f>
        <v>-5.7301615125725514E-3</v>
      </c>
      <c r="Q50" s="45">
        <f>+Q49-P49</f>
        <v>1.6754036089508428E-2</v>
      </c>
      <c r="R50" s="45" t="e">
        <f>+R49-Q49</f>
        <v>#VALUE!</v>
      </c>
      <c r="S50" s="205">
        <f>+(U15+U17+U19+U22+U30+U35+U39+U40+U43+U46)/10</f>
        <v>0.97948561835025583</v>
      </c>
      <c r="T50" s="205"/>
      <c r="U50" s="205"/>
    </row>
    <row r="51" spans="1:21" s="15" customFormat="1" ht="12.75" customHeight="1">
      <c r="A51" s="13"/>
      <c r="B51" s="13"/>
      <c r="C51" s="13"/>
      <c r="D51" s="13"/>
      <c r="E51" s="13"/>
      <c r="F51" s="14">
        <v>0.8</v>
      </c>
      <c r="G51" s="14">
        <v>0.8</v>
      </c>
      <c r="H51" s="14">
        <v>0.8</v>
      </c>
      <c r="I51" s="14">
        <v>0.8</v>
      </c>
      <c r="J51" s="14">
        <v>0.8</v>
      </c>
      <c r="K51" s="14">
        <v>0.8</v>
      </c>
      <c r="L51" s="14">
        <v>0.8</v>
      </c>
      <c r="M51" s="14">
        <v>0.8</v>
      </c>
      <c r="N51" s="14">
        <v>0.8</v>
      </c>
      <c r="O51" s="14">
        <v>0.8</v>
      </c>
      <c r="P51" s="14">
        <v>0.8</v>
      </c>
      <c r="Q51" s="14">
        <v>0.8</v>
      </c>
      <c r="R51" s="14"/>
      <c r="S51" s="14"/>
      <c r="T51" s="14"/>
      <c r="U51" s="34"/>
    </row>
    <row r="52" spans="1:21" ht="30" customHeight="1">
      <c r="A52" s="180"/>
      <c r="B52" s="180"/>
      <c r="C52" s="180"/>
      <c r="D52" s="180"/>
      <c r="E52" s="180"/>
      <c r="F52" s="180"/>
      <c r="G52" s="180"/>
      <c r="H52" s="180"/>
      <c r="I52" s="180"/>
      <c r="J52" s="180"/>
      <c r="K52" s="180"/>
      <c r="L52" s="180"/>
      <c r="M52" s="180"/>
      <c r="N52" s="181"/>
      <c r="O52" s="181"/>
      <c r="P52" s="181"/>
      <c r="Q52" s="181"/>
      <c r="R52" s="181"/>
      <c r="S52" s="181"/>
      <c r="T52" s="181"/>
      <c r="U52" s="181"/>
    </row>
    <row r="53" spans="1:21" ht="36.6" customHeight="1">
      <c r="A53" s="16"/>
      <c r="B53" s="17"/>
      <c r="C53" s="17"/>
      <c r="D53" s="17"/>
      <c r="E53" s="17"/>
      <c r="F53" s="17"/>
      <c r="G53" s="17"/>
      <c r="H53" s="17"/>
      <c r="I53" s="17"/>
      <c r="J53" s="17"/>
      <c r="K53" s="18"/>
      <c r="L53" s="18"/>
      <c r="M53" s="19"/>
      <c r="N53" s="182" t="s">
        <v>161</v>
      </c>
      <c r="O53" s="182"/>
      <c r="P53" s="182"/>
      <c r="Q53" s="182"/>
      <c r="R53" s="182"/>
      <c r="S53" s="182"/>
      <c r="T53" s="182"/>
      <c r="U53" s="182"/>
    </row>
    <row r="54" spans="1:21" ht="36.6" customHeight="1">
      <c r="A54" s="20"/>
      <c r="B54" s="21"/>
      <c r="C54" s="21"/>
      <c r="D54" s="21"/>
      <c r="E54" s="21"/>
      <c r="F54" s="21"/>
      <c r="G54" s="21"/>
      <c r="H54" s="21"/>
      <c r="I54" s="21"/>
      <c r="J54" s="21"/>
      <c r="K54" s="22"/>
      <c r="L54" s="22"/>
      <c r="M54" s="23"/>
      <c r="N54" s="178" t="s">
        <v>26</v>
      </c>
      <c r="O54" s="178"/>
      <c r="P54" s="178"/>
      <c r="Q54" s="178"/>
      <c r="R54" s="178"/>
      <c r="S54" s="178"/>
      <c r="T54" s="178"/>
      <c r="U54" s="178"/>
    </row>
    <row r="55" spans="1:21" ht="36.6" customHeight="1">
      <c r="A55" s="24"/>
      <c r="B55" s="25"/>
      <c r="C55" s="25"/>
      <c r="D55" s="25"/>
      <c r="E55" s="25"/>
      <c r="F55" s="25"/>
      <c r="G55" s="25"/>
      <c r="H55" s="25"/>
      <c r="I55" s="25"/>
      <c r="J55" s="25"/>
      <c r="K55" s="26"/>
      <c r="L55" s="26"/>
      <c r="M55" s="27"/>
      <c r="N55" s="178" t="s">
        <v>27</v>
      </c>
      <c r="O55" s="178"/>
      <c r="P55" s="178"/>
      <c r="Q55" s="178"/>
      <c r="R55" s="178"/>
      <c r="S55" s="178"/>
      <c r="T55" s="178"/>
      <c r="U55" s="178"/>
    </row>
  </sheetData>
  <sheetProtection selectLockedCells="1" selectUnlockedCells="1"/>
  <mergeCells count="54">
    <mergeCell ref="A1:U3"/>
    <mergeCell ref="A4:U6"/>
    <mergeCell ref="A7:U7"/>
    <mergeCell ref="A8:U8"/>
    <mergeCell ref="A9:F9"/>
    <mergeCell ref="G9:L9"/>
    <mergeCell ref="M9:O9"/>
    <mergeCell ref="P9:U9"/>
    <mergeCell ref="A10:F10"/>
    <mergeCell ref="G10:L10"/>
    <mergeCell ref="M10:O10"/>
    <mergeCell ref="P10:U10"/>
    <mergeCell ref="A11:F11"/>
    <mergeCell ref="G11:L11"/>
    <mergeCell ref="M11:O11"/>
    <mergeCell ref="P11:U11"/>
    <mergeCell ref="A13:U13"/>
    <mergeCell ref="A15:A50"/>
    <mergeCell ref="B15:B16"/>
    <mergeCell ref="S15:S16"/>
    <mergeCell ref="U15:U16"/>
    <mergeCell ref="B17:B18"/>
    <mergeCell ref="S17:S18"/>
    <mergeCell ref="U17:U18"/>
    <mergeCell ref="B19:B21"/>
    <mergeCell ref="S19:S21"/>
    <mergeCell ref="U19:U21"/>
    <mergeCell ref="B22:B29"/>
    <mergeCell ref="S22:S29"/>
    <mergeCell ref="U22:U29"/>
    <mergeCell ref="B30:B34"/>
    <mergeCell ref="S30:S34"/>
    <mergeCell ref="U30:U34"/>
    <mergeCell ref="B35:B38"/>
    <mergeCell ref="S35:S38"/>
    <mergeCell ref="U35:U38"/>
    <mergeCell ref="B40:B42"/>
    <mergeCell ref="S40:S42"/>
    <mergeCell ref="U40:U42"/>
    <mergeCell ref="B43:B45"/>
    <mergeCell ref="S43:S45"/>
    <mergeCell ref="U43:U45"/>
    <mergeCell ref="B46:B48"/>
    <mergeCell ref="S46:S48"/>
    <mergeCell ref="U46:U48"/>
    <mergeCell ref="N53:U53"/>
    <mergeCell ref="N54:U54"/>
    <mergeCell ref="N55:U55"/>
    <mergeCell ref="B49:E49"/>
    <mergeCell ref="S49:U49"/>
    <mergeCell ref="B50:E50"/>
    <mergeCell ref="S50:U50"/>
    <mergeCell ref="A52:M52"/>
    <mergeCell ref="N52:U52"/>
  </mergeCells>
  <dataValidations count="3">
    <dataValidation operator="equal" allowBlank="1" showErrorMessage="1" errorTitle="Seleccionar un valor de la lista" sqref="I15:P22 I23:O25 P24:P48 F26:Q26 I27:P34 F35:P36 O37:Q37 I38:Q38 I39:P48 Q45">
      <formula1>0</formula1>
      <formula2>0</formula2>
    </dataValidation>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opLeftCell="A10" zoomScale="75" zoomScaleNormal="75" workbookViewId="0"/>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7.85546875" style="1" customWidth="1"/>
    <col min="6" max="17" width="10.7109375" style="1" customWidth="1"/>
    <col min="18" max="18" width="13.140625" style="1" customWidth="1"/>
    <col min="19" max="19" width="12.28515625" style="1" customWidth="1"/>
    <col min="20" max="20" width="10.7109375" style="1" customWidth="1"/>
    <col min="21" max="21" width="12.140625" style="1" customWidth="1"/>
    <col min="22" max="22" width="2.7109375" style="1" customWidth="1"/>
    <col min="23" max="16384" width="11.42578125" style="1"/>
  </cols>
  <sheetData>
    <row r="1" spans="1:256" s="3" customFormat="1" ht="13.9" customHeight="1">
      <c r="A1" s="184" t="s">
        <v>0</v>
      </c>
      <c r="B1" s="184"/>
      <c r="C1" s="184"/>
      <c r="D1" s="184"/>
      <c r="E1" s="184"/>
      <c r="F1" s="184"/>
      <c r="G1" s="184"/>
      <c r="H1" s="184"/>
      <c r="I1" s="184"/>
      <c r="J1" s="184"/>
      <c r="K1" s="184"/>
      <c r="L1" s="184"/>
      <c r="M1" s="184"/>
      <c r="N1" s="184"/>
      <c r="O1" s="184"/>
      <c r="P1" s="184"/>
      <c r="Q1" s="184"/>
      <c r="R1" s="184"/>
      <c r="S1" s="184"/>
      <c r="T1" s="184"/>
      <c r="U1" s="184"/>
    </row>
    <row r="2" spans="1:256" s="3" customFormat="1" ht="13.9" customHeight="1">
      <c r="A2" s="184"/>
      <c r="B2" s="184"/>
      <c r="C2" s="184"/>
      <c r="D2" s="184"/>
      <c r="E2" s="184"/>
      <c r="F2" s="184"/>
      <c r="G2" s="184"/>
      <c r="H2" s="184"/>
      <c r="I2" s="184"/>
      <c r="J2" s="184"/>
      <c r="K2" s="184"/>
      <c r="L2" s="184"/>
      <c r="M2" s="184"/>
      <c r="N2" s="184"/>
      <c r="O2" s="184"/>
      <c r="P2" s="184"/>
      <c r="Q2" s="184"/>
      <c r="R2" s="184"/>
      <c r="S2" s="184"/>
      <c r="T2" s="184"/>
      <c r="U2" s="184"/>
    </row>
    <row r="3" spans="1:256" s="3" customFormat="1" ht="13.9" customHeight="1">
      <c r="A3" s="184"/>
      <c r="B3" s="184"/>
      <c r="C3" s="184"/>
      <c r="D3" s="184"/>
      <c r="E3" s="184"/>
      <c r="F3" s="184"/>
      <c r="G3" s="184"/>
      <c r="H3" s="184"/>
      <c r="I3" s="184"/>
      <c r="J3" s="184"/>
      <c r="K3" s="184"/>
      <c r="L3" s="184"/>
      <c r="M3" s="184"/>
      <c r="N3" s="184"/>
      <c r="O3" s="184"/>
      <c r="P3" s="184"/>
      <c r="Q3" s="184"/>
      <c r="R3" s="184"/>
      <c r="S3" s="184"/>
      <c r="T3" s="184"/>
      <c r="U3" s="184"/>
    </row>
    <row r="4" spans="1:256" s="3" customFormat="1" ht="13.9" customHeight="1">
      <c r="A4" s="184" t="s">
        <v>1</v>
      </c>
      <c r="B4" s="184"/>
      <c r="C4" s="184"/>
      <c r="D4" s="184"/>
      <c r="E4" s="184"/>
      <c r="F4" s="184"/>
      <c r="G4" s="184"/>
      <c r="H4" s="184"/>
      <c r="I4" s="184"/>
      <c r="J4" s="184"/>
      <c r="K4" s="184"/>
      <c r="L4" s="184"/>
      <c r="M4" s="184"/>
      <c r="N4" s="184"/>
      <c r="O4" s="184"/>
      <c r="P4" s="184"/>
      <c r="Q4" s="184"/>
      <c r="R4" s="184"/>
      <c r="S4" s="184"/>
      <c r="T4" s="184"/>
      <c r="U4" s="184"/>
    </row>
    <row r="5" spans="1:256" s="3" customFormat="1" ht="13.9" customHeight="1">
      <c r="A5" s="184"/>
      <c r="B5" s="184"/>
      <c r="C5" s="184"/>
      <c r="D5" s="184"/>
      <c r="E5" s="184"/>
      <c r="F5" s="184"/>
      <c r="G5" s="184"/>
      <c r="H5" s="184"/>
      <c r="I5" s="184"/>
      <c r="J5" s="184"/>
      <c r="K5" s="184"/>
      <c r="L5" s="184"/>
      <c r="M5" s="184"/>
      <c r="N5" s="184"/>
      <c r="O5" s="184"/>
      <c r="P5" s="184"/>
      <c r="Q5" s="184"/>
      <c r="R5" s="184"/>
      <c r="S5" s="184"/>
      <c r="T5" s="184"/>
      <c r="U5" s="184"/>
    </row>
    <row r="6" spans="1:256" s="3" customFormat="1" ht="13.9" customHeight="1">
      <c r="A6" s="184"/>
      <c r="B6" s="184"/>
      <c r="C6" s="184"/>
      <c r="D6" s="184"/>
      <c r="E6" s="184"/>
      <c r="F6" s="184"/>
      <c r="G6" s="184"/>
      <c r="H6" s="184"/>
      <c r="I6" s="184"/>
      <c r="J6" s="184"/>
      <c r="K6" s="184"/>
      <c r="L6" s="184"/>
      <c r="M6" s="184"/>
      <c r="N6" s="184"/>
      <c r="O6" s="184"/>
      <c r="P6" s="184"/>
      <c r="Q6" s="184"/>
      <c r="R6" s="184"/>
      <c r="S6" s="184"/>
      <c r="T6" s="184"/>
      <c r="U6" s="184"/>
    </row>
    <row r="7" spans="1:256" s="3" customFormat="1" ht="12.75" customHeight="1">
      <c r="A7" s="185"/>
      <c r="B7" s="185"/>
      <c r="C7" s="185"/>
      <c r="D7" s="185"/>
      <c r="E7" s="185"/>
      <c r="F7" s="185"/>
      <c r="G7" s="185"/>
      <c r="H7" s="185"/>
      <c r="I7" s="185"/>
      <c r="J7" s="185"/>
      <c r="K7" s="185"/>
      <c r="L7" s="185"/>
      <c r="M7" s="185"/>
      <c r="N7" s="185"/>
      <c r="O7" s="185"/>
      <c r="P7" s="185"/>
      <c r="Q7" s="185"/>
      <c r="R7" s="185"/>
      <c r="S7" s="185"/>
      <c r="T7" s="185"/>
      <c r="U7" s="185"/>
    </row>
    <row r="8" spans="1:256" ht="30" customHeight="1">
      <c r="A8" s="179" t="s">
        <v>2</v>
      </c>
      <c r="B8" s="179"/>
      <c r="C8" s="179"/>
      <c r="D8" s="179"/>
      <c r="E8" s="179"/>
      <c r="F8" s="179"/>
      <c r="G8" s="179"/>
      <c r="H8" s="179"/>
      <c r="I8" s="179"/>
      <c r="J8" s="179"/>
      <c r="K8" s="179"/>
      <c r="L8" s="179"/>
      <c r="M8" s="179"/>
      <c r="N8" s="179"/>
      <c r="O8" s="179"/>
      <c r="P8" s="179"/>
      <c r="Q8" s="179"/>
      <c r="R8" s="179"/>
      <c r="S8" s="179"/>
      <c r="T8" s="179"/>
      <c r="U8" s="179"/>
    </row>
    <row r="9" spans="1:256" ht="42" customHeight="1">
      <c r="A9" s="182" t="s">
        <v>3</v>
      </c>
      <c r="B9" s="182"/>
      <c r="C9" s="182"/>
      <c r="D9" s="182"/>
      <c r="E9" s="182"/>
      <c r="F9" s="182"/>
      <c r="G9" s="183" t="s">
        <v>89</v>
      </c>
      <c r="H9" s="183"/>
      <c r="I9" s="183"/>
      <c r="J9" s="183"/>
      <c r="K9" s="183"/>
      <c r="L9" s="183"/>
      <c r="M9" s="182" t="s">
        <v>5</v>
      </c>
      <c r="N9" s="182"/>
      <c r="O9" s="182"/>
      <c r="P9" s="201" t="s">
        <v>90</v>
      </c>
      <c r="Q9" s="201"/>
      <c r="R9" s="201"/>
      <c r="S9" s="201"/>
      <c r="T9" s="201"/>
      <c r="U9" s="201"/>
    </row>
    <row r="10" spans="1:256" ht="42" customHeight="1">
      <c r="A10" s="182" t="s">
        <v>7</v>
      </c>
      <c r="B10" s="182"/>
      <c r="C10" s="182"/>
      <c r="D10" s="182"/>
      <c r="E10" s="182"/>
      <c r="F10" s="182"/>
      <c r="G10" s="183" t="s">
        <v>8</v>
      </c>
      <c r="H10" s="183"/>
      <c r="I10" s="183"/>
      <c r="J10" s="183"/>
      <c r="K10" s="183"/>
      <c r="L10" s="183"/>
      <c r="M10" s="182" t="s">
        <v>9</v>
      </c>
      <c r="N10" s="182"/>
      <c r="O10" s="182"/>
      <c r="P10" s="201" t="s">
        <v>10</v>
      </c>
      <c r="Q10" s="201"/>
      <c r="R10" s="201"/>
      <c r="S10" s="201"/>
      <c r="T10" s="201"/>
      <c r="U10" s="201"/>
    </row>
    <row r="11" spans="1:256" ht="52.9" customHeight="1">
      <c r="A11" s="182" t="s">
        <v>11</v>
      </c>
      <c r="B11" s="182"/>
      <c r="C11" s="182"/>
      <c r="D11" s="182"/>
      <c r="E11" s="182"/>
      <c r="F11" s="182"/>
      <c r="G11" s="183" t="s">
        <v>91</v>
      </c>
      <c r="H11" s="183"/>
      <c r="I11" s="183"/>
      <c r="J11" s="183"/>
      <c r="K11" s="183"/>
      <c r="L11" s="183"/>
      <c r="M11" s="182" t="s">
        <v>32</v>
      </c>
      <c r="N11" s="182"/>
      <c r="O11" s="182"/>
      <c r="P11" s="201" t="s">
        <v>33</v>
      </c>
      <c r="Q11" s="201"/>
      <c r="R11" s="201"/>
      <c r="S11" s="201"/>
      <c r="T11" s="201"/>
      <c r="U11" s="201"/>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52</v>
      </c>
      <c r="B13" s="179"/>
      <c r="C13" s="179"/>
      <c r="D13" s="179"/>
      <c r="E13" s="179"/>
      <c r="F13" s="179"/>
      <c r="G13" s="179"/>
      <c r="H13" s="179"/>
      <c r="I13" s="179"/>
      <c r="J13" s="179"/>
      <c r="K13" s="179"/>
      <c r="L13" s="179"/>
      <c r="M13" s="179"/>
      <c r="N13" s="179"/>
      <c r="O13" s="179"/>
      <c r="P13" s="179"/>
      <c r="Q13" s="179"/>
      <c r="R13" s="179"/>
      <c r="S13" s="179"/>
      <c r="T13" s="179"/>
      <c r="U13" s="179"/>
    </row>
    <row r="14" spans="1:256" ht="45" customHeight="1">
      <c r="A14" s="4" t="s">
        <v>53</v>
      </c>
      <c r="B14" s="4" t="s">
        <v>93</v>
      </c>
      <c r="C14" s="6" t="s">
        <v>94</v>
      </c>
      <c r="D14" s="6" t="s">
        <v>95</v>
      </c>
      <c r="E14" s="6" t="s">
        <v>96</v>
      </c>
      <c r="F14" s="6" t="s">
        <v>55</v>
      </c>
      <c r="G14" s="4" t="s">
        <v>56</v>
      </c>
      <c r="H14" s="4" t="s">
        <v>57</v>
      </c>
      <c r="I14" s="4" t="s">
        <v>58</v>
      </c>
      <c r="J14" s="4" t="s">
        <v>59</v>
      </c>
      <c r="K14" s="4" t="s">
        <v>60</v>
      </c>
      <c r="L14" s="4" t="s">
        <v>61</v>
      </c>
      <c r="M14" s="4" t="s">
        <v>62</v>
      </c>
      <c r="N14" s="4" t="s">
        <v>63</v>
      </c>
      <c r="O14" s="4" t="s">
        <v>64</v>
      </c>
      <c r="P14" s="4" t="s">
        <v>65</v>
      </c>
      <c r="Q14" s="4" t="s">
        <v>66</v>
      </c>
      <c r="R14" s="4" t="s">
        <v>97</v>
      </c>
      <c r="S14" s="4" t="s">
        <v>162</v>
      </c>
      <c r="T14" s="4" t="s">
        <v>93</v>
      </c>
      <c r="U14" s="4" t="s">
        <v>163</v>
      </c>
    </row>
    <row r="15" spans="1:256" ht="15" customHeight="1">
      <c r="A15" s="178">
        <v>2015</v>
      </c>
      <c r="B15" s="178">
        <v>914</v>
      </c>
      <c r="C15" s="7" t="s">
        <v>100</v>
      </c>
      <c r="D15" s="37">
        <v>92000</v>
      </c>
      <c r="E15" s="38" t="s">
        <v>101</v>
      </c>
      <c r="F15" s="33">
        <f>+'Seguim Proy inversión 2015'!F15/$D15</f>
        <v>0</v>
      </c>
      <c r="G15" s="33">
        <f>+'Seguim Proy inversión 2015'!G15/$D15</f>
        <v>1.3369565217391305E-3</v>
      </c>
      <c r="H15" s="33">
        <f>+'Seguim Proy inversión 2015'!H15/$D15</f>
        <v>4.667391304347826E-2</v>
      </c>
      <c r="I15" s="33">
        <f>+'Seguim Proy inversión 2015'!I15/$D15</f>
        <v>9.1423913043478258E-2</v>
      </c>
      <c r="J15" s="33">
        <f>+'Seguim Proy inversión 2015'!J15/$D15</f>
        <v>0.21591304347826087</v>
      </c>
      <c r="K15" s="33">
        <f>+'Seguim Proy inversión 2015'!K15/$D15</f>
        <v>0.2708913043478261</v>
      </c>
      <c r="L15" s="33">
        <f>+'Seguim Proy inversión 2015'!L15/$D15</f>
        <v>0.46163043478260868</v>
      </c>
      <c r="M15" s="33">
        <f>+'Seguim Proy inversión 2015'!M15/$D15</f>
        <v>0.54455434782608692</v>
      </c>
      <c r="N15" s="33">
        <f>+'Seguim Proy inversión 2015'!N15/$D15</f>
        <v>0.6226739130434783</v>
      </c>
      <c r="O15" s="33">
        <f>+'Seguim Proy inversión 2015'!O15/$D15</f>
        <v>0.72080434782608693</v>
      </c>
      <c r="P15" s="33">
        <f>+'Seguim Proy inversión 2015'!P15/$D15</f>
        <v>0.79041304347826091</v>
      </c>
      <c r="Q15" s="33">
        <f>+'Seguim Proy inversión 2015'!Q15/$D15</f>
        <v>0.86985869565217389</v>
      </c>
      <c r="R15" s="33">
        <f>MAX(F15,G15,H15,I15,J15,K15,L15,M15,N15,O15,P15,Q15)</f>
        <v>0.86985869565217389</v>
      </c>
      <c r="S15" s="46">
        <v>0.7</v>
      </c>
      <c r="T15" s="178">
        <v>914</v>
      </c>
      <c r="U15" s="208">
        <f>+R15*S15+R16*S16</f>
        <v>0.92765108695652176</v>
      </c>
    </row>
    <row r="16" spans="1:256" ht="28.5" customHeight="1">
      <c r="A16" s="178"/>
      <c r="B16" s="178"/>
      <c r="C16" s="7" t="s">
        <v>102</v>
      </c>
      <c r="D16" s="39">
        <v>80</v>
      </c>
      <c r="E16" s="38" t="s">
        <v>103</v>
      </c>
      <c r="F16" s="33">
        <f>+'Seguim Proy inversión 2015'!F16/$D16</f>
        <v>0</v>
      </c>
      <c r="G16" s="33">
        <f>+'Seguim Proy inversión 2015'!G16/$D16</f>
        <v>0</v>
      </c>
      <c r="H16" s="33">
        <f>+'Seguim Proy inversión 2015'!H16/$D16</f>
        <v>2.5000000000000001E-2</v>
      </c>
      <c r="I16" s="33">
        <f>+'Seguim Proy inversión 2015'!I16/$D16</f>
        <v>1.2500000000000001E-2</v>
      </c>
      <c r="J16" s="33">
        <f>+'Seguim Proy inversión 2015'!J16/$D16</f>
        <v>0</v>
      </c>
      <c r="K16" s="33">
        <f>+'Seguim Proy inversión 2015'!K16/$D16</f>
        <v>0</v>
      </c>
      <c r="L16" s="33">
        <f>+'Seguim Proy inversión 2015'!L16/$D16</f>
        <v>6.25E-2</v>
      </c>
      <c r="M16" s="33">
        <f>+'Seguim Proy inversión 2015'!M16/$D16</f>
        <v>0.1</v>
      </c>
      <c r="N16" s="33">
        <f>+'Seguim Proy inversión 2015'!N16/$D16</f>
        <v>0.625</v>
      </c>
      <c r="O16" s="33">
        <f>+'Seguim Proy inversión 2015'!O16/$D16</f>
        <v>0.82499999999999996</v>
      </c>
      <c r="P16" s="33">
        <f>+'Seguim Proy inversión 2015'!P16/$D16</f>
        <v>1.0625</v>
      </c>
      <c r="Q16" s="33">
        <f>+'Seguim Proy inversión 2015'!Q16/$D16</f>
        <v>1.0625</v>
      </c>
      <c r="R16" s="33">
        <f>MAX(F16,G16,H16,I16,J16,K16,L16,M16,N16,O16,P16,Q16)</f>
        <v>1.0625</v>
      </c>
      <c r="S16" s="46">
        <v>0.30000000000000004</v>
      </c>
      <c r="T16" s="178"/>
      <c r="U16" s="208"/>
    </row>
    <row r="17" spans="1:21" ht="30" customHeight="1">
      <c r="A17" s="178"/>
      <c r="B17" s="178">
        <v>915</v>
      </c>
      <c r="C17" s="7" t="s">
        <v>104</v>
      </c>
      <c r="D17" s="37">
        <v>65216</v>
      </c>
      <c r="E17" s="38" t="s">
        <v>105</v>
      </c>
      <c r="F17" s="33">
        <f>+'Seguim Proy inversión 2015'!F17/$D17</f>
        <v>0</v>
      </c>
      <c r="G17" s="33">
        <f>+'Seguim Proy inversión 2015'!G17/$D17</f>
        <v>0.17980250245338567</v>
      </c>
      <c r="H17" s="33">
        <f>+'Seguim Proy inversión 2015'!H17/$D17</f>
        <v>0.37723871442590773</v>
      </c>
      <c r="I17" s="33">
        <f>+'Seguim Proy inversión 2015'!I17/$D17</f>
        <v>0.43125920019627084</v>
      </c>
      <c r="J17" s="33">
        <f>+'Seguim Proy inversión 2015'!J17/$D17</f>
        <v>0.466357948969578</v>
      </c>
      <c r="K17" s="33">
        <f>+'Seguim Proy inversión 2015'!K17/$D17</f>
        <v>0.494525883218842</v>
      </c>
      <c r="L17" s="33">
        <f>+'Seguim Proy inversión 2015'!L17/$D17</f>
        <v>0.61472644749754657</v>
      </c>
      <c r="M17" s="33">
        <f>+'Seguim Proy inversión 2015'!M17/$D17</f>
        <v>0.67213567222767423</v>
      </c>
      <c r="N17" s="33">
        <f>+'Seguim Proy inversión 2015'!N17/$D17</f>
        <v>0.78493007850834151</v>
      </c>
      <c r="O17" s="33">
        <f>+'Seguim Proy inversión 2015'!O17/$D17</f>
        <v>0.83750920019627084</v>
      </c>
      <c r="P17" s="33">
        <f>+'Seguim Proy inversión 2015'!P17/$D17</f>
        <v>0.90407262021589796</v>
      </c>
      <c r="Q17" s="33">
        <f>+'Seguim Proy inversión 2015'!Q17/$D17</f>
        <v>0.90407262021589796</v>
      </c>
      <c r="R17" s="33">
        <f>+'Seguim Proy inversión 2015'!R17/$D17</f>
        <v>0.90407262021589796</v>
      </c>
      <c r="S17" s="33">
        <v>0.7</v>
      </c>
      <c r="T17" s="178">
        <v>915</v>
      </c>
      <c r="U17" s="205">
        <f>+R17*S17+R18*S18</f>
        <v>0.94016790732186029</v>
      </c>
    </row>
    <row r="18" spans="1:21" ht="30" customHeight="1">
      <c r="A18" s="178"/>
      <c r="B18" s="178"/>
      <c r="C18" s="7" t="s">
        <v>106</v>
      </c>
      <c r="D18" s="39">
        <v>41</v>
      </c>
      <c r="E18" s="38" t="s">
        <v>107</v>
      </c>
      <c r="F18" s="33">
        <f>+'Seguim Proy inversión 2015'!F18/$D18</f>
        <v>0</v>
      </c>
      <c r="G18" s="33">
        <f>+'Seguim Proy inversión 2015'!G18/$D18</f>
        <v>0</v>
      </c>
      <c r="H18" s="33">
        <f>+'Seguim Proy inversión 2015'!H18/$D18</f>
        <v>0.34146341463414637</v>
      </c>
      <c r="I18" s="33">
        <f>+'Seguim Proy inversión 2015'!I18/$D18</f>
        <v>0.63414634146341464</v>
      </c>
      <c r="J18" s="33">
        <f>+'Seguim Proy inversión 2015'!J18/$D18</f>
        <v>0.73170731707317072</v>
      </c>
      <c r="K18" s="33">
        <f>+'Seguim Proy inversión 2015'!K18/$D18</f>
        <v>0.87804878048780488</v>
      </c>
      <c r="L18" s="33">
        <f>+'Seguim Proy inversión 2015'!L18/$D18</f>
        <v>0.92682926829268297</v>
      </c>
      <c r="M18" s="33">
        <f>+'Seguim Proy inversión 2015'!M18/$D18</f>
        <v>0.97560975609756095</v>
      </c>
      <c r="N18" s="33">
        <f>+'Seguim Proy inversión 2015'!N18/$D18</f>
        <v>1.024390243902439</v>
      </c>
      <c r="O18" s="33">
        <f>+'Seguim Proy inversión 2015'!O18/$D18</f>
        <v>1.024390243902439</v>
      </c>
      <c r="P18" s="33">
        <f>+'Seguim Proy inversión 2015'!P18/$D18</f>
        <v>1.024390243902439</v>
      </c>
      <c r="Q18" s="33">
        <f>+'Seguim Proy inversión 2015'!Q18/$D18</f>
        <v>1.024390243902439</v>
      </c>
      <c r="R18" s="33">
        <f>+'Seguim Proy inversión 2015'!R18/$D18</f>
        <v>1.024390243902439</v>
      </c>
      <c r="S18" s="33">
        <v>0.30000000000000004</v>
      </c>
      <c r="T18" s="178"/>
      <c r="U18" s="205"/>
    </row>
    <row r="19" spans="1:21" ht="15" customHeight="1">
      <c r="A19" s="178"/>
      <c r="B19" s="178">
        <v>772</v>
      </c>
      <c r="C19" s="7" t="s">
        <v>108</v>
      </c>
      <c r="D19" s="39">
        <v>6</v>
      </c>
      <c r="E19" s="38" t="s">
        <v>109</v>
      </c>
      <c r="F19" s="33">
        <f>+'Seguim Proy inversión 2015'!F19/$D19</f>
        <v>0</v>
      </c>
      <c r="G19" s="33">
        <f>+'Seguim Proy inversión 2015'!G19/$D19</f>
        <v>0</v>
      </c>
      <c r="H19" s="33">
        <f>+'Seguim Proy inversión 2015'!H19/$D19</f>
        <v>0.33333333333333331</v>
      </c>
      <c r="I19" s="33">
        <f>+'Seguim Proy inversión 2015'!I19/$D19</f>
        <v>0</v>
      </c>
      <c r="J19" s="33">
        <f>+'Seguim Proy inversión 2015'!J19/$D19</f>
        <v>0.33333333333333331</v>
      </c>
      <c r="K19" s="33">
        <f>+'Seguim Proy inversión 2015'!K19/$D19</f>
        <v>0.33333333333333331</v>
      </c>
      <c r="L19" s="33">
        <f>+'Seguim Proy inversión 2015'!L19/$D19</f>
        <v>0.5</v>
      </c>
      <c r="M19" s="33">
        <f>+'Seguim Proy inversión 2015'!M19/$D19</f>
        <v>0.83333333333333337</v>
      </c>
      <c r="N19" s="33">
        <f>+'Seguim Proy inversión 2015'!N19/$D19</f>
        <v>0.66666666666666663</v>
      </c>
      <c r="O19" s="33">
        <f>+'Seguim Proy inversión 2015'!O19/$D19</f>
        <v>0</v>
      </c>
      <c r="P19" s="33">
        <f>+'Seguim Proy inversión 2015'!P19/$D19</f>
        <v>0</v>
      </c>
      <c r="Q19" s="33">
        <f>+'Seguim Proy inversión 2015'!Q19/$D19</f>
        <v>0</v>
      </c>
      <c r="R19" s="33">
        <f>+'Seguim Proy inversión 2015'!R19/$D19</f>
        <v>0.83333333333333337</v>
      </c>
      <c r="S19" s="33">
        <v>0.4</v>
      </c>
      <c r="T19" s="178">
        <v>772</v>
      </c>
      <c r="U19" s="205">
        <f>+R19*S19+R20*S20+R21*S21</f>
        <v>0.9933333333333334</v>
      </c>
    </row>
    <row r="20" spans="1:21" ht="30" customHeight="1">
      <c r="A20" s="178"/>
      <c r="B20" s="178"/>
      <c r="C20" s="7" t="s">
        <v>110</v>
      </c>
      <c r="D20" s="48">
        <v>50</v>
      </c>
      <c r="E20" s="38" t="s">
        <v>111</v>
      </c>
      <c r="F20" s="33">
        <f>+'Seguim Proy inversión 2015'!F20/$D20</f>
        <v>0.02</v>
      </c>
      <c r="G20" s="33">
        <f>+'Seguim Proy inversión 2015'!G20/$D20</f>
        <v>0.02</v>
      </c>
      <c r="H20" s="33">
        <f>+'Seguim Proy inversión 2015'!H20/$D20</f>
        <v>0.02</v>
      </c>
      <c r="I20" s="33">
        <f>+'Seguim Proy inversión 2015'!I20/$D20</f>
        <v>0.02</v>
      </c>
      <c r="J20" s="33">
        <f>+'Seguim Proy inversión 2015'!J20/$D20</f>
        <v>0.12</v>
      </c>
      <c r="K20" s="33">
        <f>+'Seguim Proy inversión 2015'!K20/$D20</f>
        <v>0.06</v>
      </c>
      <c r="L20" s="33">
        <f>+'Seguim Proy inversión 2015'!L20/$D20</f>
        <v>0.22</v>
      </c>
      <c r="M20" s="33">
        <f>+'Seguim Proy inversión 2015'!M20/$D20</f>
        <v>0.14000000000000001</v>
      </c>
      <c r="N20" s="33">
        <f>+'Seguim Proy inversión 2015'!N20/$D20</f>
        <v>0.12</v>
      </c>
      <c r="O20" s="33">
        <f>+'Seguim Proy inversión 2015'!O20/$D20</f>
        <v>0.16</v>
      </c>
      <c r="P20" s="33">
        <f>+'Seguim Proy inversión 2015'!P20/$D20</f>
        <v>0.18</v>
      </c>
      <c r="Q20" s="33">
        <f>+'Seguim Proy inversión 2015'!Q20/$D20</f>
        <v>0.04</v>
      </c>
      <c r="R20" s="33">
        <f>+'Seguim Proy inversión 2015'!R20/$D20</f>
        <v>1.1200000000000001</v>
      </c>
      <c r="S20" s="33">
        <v>0.5</v>
      </c>
      <c r="T20" s="178"/>
      <c r="U20" s="205"/>
    </row>
    <row r="21" spans="1:21" ht="15" customHeight="1">
      <c r="A21" s="178"/>
      <c r="B21" s="178"/>
      <c r="C21" s="7" t="s">
        <v>110</v>
      </c>
      <c r="D21" s="39">
        <v>2</v>
      </c>
      <c r="E21" s="38" t="s">
        <v>112</v>
      </c>
      <c r="F21" s="33">
        <f>+'Seguim Proy inversión 2015'!F21/$D21</f>
        <v>0</v>
      </c>
      <c r="G21" s="33">
        <f>+'Seguim Proy inversión 2015'!G21/$D21</f>
        <v>0</v>
      </c>
      <c r="H21" s="33">
        <f>+'Seguim Proy inversión 2015'!H21/$D21</f>
        <v>0</v>
      </c>
      <c r="I21" s="33">
        <f>+'Seguim Proy inversión 2015'!I21/$D21</f>
        <v>0</v>
      </c>
      <c r="J21" s="33">
        <f>+'Seguim Proy inversión 2015'!J21/$D21</f>
        <v>0</v>
      </c>
      <c r="K21" s="33">
        <f>+'Seguim Proy inversión 2015'!K21/$D21</f>
        <v>0</v>
      </c>
      <c r="L21" s="33">
        <f>+'Seguim Proy inversión 2015'!L21/$D21</f>
        <v>0</v>
      </c>
      <c r="M21" s="33">
        <f>+'Seguim Proy inversión 2015'!M21/$D21</f>
        <v>0</v>
      </c>
      <c r="N21" s="33">
        <f>+'Seguim Proy inversión 2015'!N21/$D21</f>
        <v>0</v>
      </c>
      <c r="O21" s="33">
        <f>+'Seguim Proy inversión 2015'!O21/$D21</f>
        <v>1</v>
      </c>
      <c r="P21" s="33">
        <f>+'Seguim Proy inversión 2015'!P21/$D21</f>
        <v>0</v>
      </c>
      <c r="Q21" s="33">
        <f>+'Seguim Proy inversión 2015'!Q21/$D21</f>
        <v>0</v>
      </c>
      <c r="R21" s="33">
        <f>+'Seguim Proy inversión 2015'!R21/$D21</f>
        <v>1</v>
      </c>
      <c r="S21" s="33">
        <v>0.1</v>
      </c>
      <c r="T21" s="178"/>
      <c r="U21" s="205"/>
    </row>
    <row r="22" spans="1:21" ht="15" customHeight="1">
      <c r="A22" s="178"/>
      <c r="B22" s="178">
        <v>795</v>
      </c>
      <c r="C22" s="7" t="s">
        <v>113</v>
      </c>
      <c r="D22" s="39">
        <v>1140000</v>
      </c>
      <c r="E22" s="38" t="s">
        <v>114</v>
      </c>
      <c r="F22" s="33">
        <f>+'Seguim Proy inversión 2015'!F22/$D22</f>
        <v>1.4479824561403509E-2</v>
      </c>
      <c r="G22" s="33">
        <f>+'Seguim Proy inversión 2015'!G22/$D22</f>
        <v>5.3517543859649122E-3</v>
      </c>
      <c r="H22" s="33">
        <f>+'Seguim Proy inversión 2015'!H22/$D22</f>
        <v>7.699122807017544E-3</v>
      </c>
      <c r="I22" s="33">
        <f>+'Seguim Proy inversión 2015'!I22/$D22</f>
        <v>0.26727192982456138</v>
      </c>
      <c r="J22" s="33">
        <f>+'Seguim Proy inversión 2015'!J22/$D22</f>
        <v>0.20044035087719297</v>
      </c>
      <c r="K22" s="33">
        <f>+'Seguim Proy inversión 2015'!K22/$D22</f>
        <v>8.6907894736842101E-2</v>
      </c>
      <c r="L22" s="33">
        <f>+'Seguim Proy inversión 2015'!L22/$D22</f>
        <v>7.1677192982456145E-2</v>
      </c>
      <c r="M22" s="33">
        <f>+'Seguim Proy inversión 2015'!M22/$D22</f>
        <v>0.30887807017543861</v>
      </c>
      <c r="N22" s="33">
        <f>+'Seguim Proy inversión 2015'!N22/$D22</f>
        <v>0.16023245614035087</v>
      </c>
      <c r="O22" s="33">
        <f>+'Seguim Proy inversión 2015'!O22/$D22</f>
        <v>0.12629122807017543</v>
      </c>
      <c r="P22" s="33">
        <f>+'Seguim Proy inversión 2015'!P22/$D22</f>
        <v>0.17871842105263158</v>
      </c>
      <c r="Q22" s="33">
        <f>+'Seguim Proy inversión 2015'!Q22/$D22</f>
        <v>9.6964912280701754E-2</v>
      </c>
      <c r="R22" s="33">
        <f>+'Seguim Proy inversión 2015'!T22</f>
        <v>1.3832150375939849</v>
      </c>
      <c r="S22" s="33">
        <v>0.15</v>
      </c>
      <c r="T22" s="178">
        <v>795</v>
      </c>
      <c r="U22" s="205">
        <f>+R22*S22+R23*S23+R24*S24+R25*S25+R26*S26+R27*S27+R28*S28+R29*S29</f>
        <v>1.1770398781977751</v>
      </c>
    </row>
    <row r="23" spans="1:21" ht="57" customHeight="1">
      <c r="A23" s="178"/>
      <c r="B23" s="178"/>
      <c r="C23" s="7" t="s">
        <v>115</v>
      </c>
      <c r="D23" s="39">
        <v>260000</v>
      </c>
      <c r="E23" s="38" t="s">
        <v>116</v>
      </c>
      <c r="F23" s="33">
        <f>+'Seguim Proy inversión 2015'!F23/$D23</f>
        <v>0</v>
      </c>
      <c r="G23" s="33">
        <f>+'Seguim Proy inversión 2015'!G23/$D23</f>
        <v>0</v>
      </c>
      <c r="H23" s="33">
        <f>+'Seguim Proy inversión 2015'!H23/$D23</f>
        <v>0</v>
      </c>
      <c r="I23" s="33">
        <f>+'Seguim Proy inversión 2015'!I23/$D23</f>
        <v>0</v>
      </c>
      <c r="J23" s="33">
        <f>+'Seguim Proy inversión 2015'!J23/$D23</f>
        <v>0</v>
      </c>
      <c r="K23" s="33">
        <f>+'Seguim Proy inversión 2015'!K23/$D23</f>
        <v>0</v>
      </c>
      <c r="L23" s="33">
        <f>+'Seguim Proy inversión 2015'!L23/$D23</f>
        <v>0</v>
      </c>
      <c r="M23" s="33">
        <f>+'Seguim Proy inversión 2015'!M23/$D23</f>
        <v>0</v>
      </c>
      <c r="N23" s="33">
        <f>+'Seguim Proy inversión 2015'!N23/$D23</f>
        <v>6.861538461538462E-2</v>
      </c>
      <c r="O23" s="33">
        <f>+'Seguim Proy inversión 2015'!O23/$D23</f>
        <v>2.9807692307692309E-2</v>
      </c>
      <c r="P23" s="33">
        <f>+'Seguim Proy inversión 2015'!P23/$D23</f>
        <v>0.35234615384615386</v>
      </c>
      <c r="Q23" s="33">
        <f>+'Seguim Proy inversión 2015'!Q23/$D23</f>
        <v>6.2269230769230771E-2</v>
      </c>
      <c r="R23" s="33">
        <f>+'Seguim Proy inversión 2015'!T23</f>
        <v>1.2301252747252747</v>
      </c>
      <c r="S23" s="33">
        <v>0.05</v>
      </c>
      <c r="T23" s="178"/>
      <c r="U23" s="205"/>
    </row>
    <row r="24" spans="1:21" ht="12.75" customHeight="1">
      <c r="A24" s="178"/>
      <c r="B24" s="178"/>
      <c r="C24" s="7" t="s">
        <v>117</v>
      </c>
      <c r="D24" s="39">
        <v>10000</v>
      </c>
      <c r="E24" s="38" t="s">
        <v>118</v>
      </c>
      <c r="F24" s="33">
        <f>+'Seguim Proy inversión 2015'!F24/$D24</f>
        <v>2.3E-2</v>
      </c>
      <c r="G24" s="33">
        <f>+'Seguim Proy inversión 2015'!G24/$D24</f>
        <v>2.12E-2</v>
      </c>
      <c r="H24" s="33">
        <f>+'Seguim Proy inversión 2015'!H24/$D24</f>
        <v>2.9700000000000001E-2</v>
      </c>
      <c r="I24" s="33">
        <f>+'Seguim Proy inversión 2015'!I24/$D24</f>
        <v>8.9399999999999993E-2</v>
      </c>
      <c r="J24" s="33">
        <f>+'Seguim Proy inversión 2015'!J24/$D24</f>
        <v>0.17730000000000001</v>
      </c>
      <c r="K24" s="33">
        <f>+'Seguim Proy inversión 2015'!K24/$D24</f>
        <v>0.16289999999999999</v>
      </c>
      <c r="L24" s="33">
        <f>+'Seguim Proy inversión 2015'!L24/$D24</f>
        <v>0.184</v>
      </c>
      <c r="M24" s="33">
        <f>+'Seguim Proy inversión 2015'!M24/$D24</f>
        <v>0.26269999999999999</v>
      </c>
      <c r="N24" s="33">
        <f>+'Seguim Proy inversión 2015'!N24/$D24</f>
        <v>0.29160000000000003</v>
      </c>
      <c r="O24" s="33">
        <f>+'Seguim Proy inversión 2015'!O24/$D24</f>
        <v>0.28989999999999999</v>
      </c>
      <c r="P24" s="33">
        <f>+'Seguim Proy inversión 2015'!P24/$D24</f>
        <v>0.2137</v>
      </c>
      <c r="Q24" s="33">
        <f>+'Seguim Proy inversión 2015'!Q24/$D24</f>
        <v>7.9399999999999998E-2</v>
      </c>
      <c r="R24" s="33">
        <f>+'Seguim Proy inversión 2015'!T24</f>
        <v>1.4782857142857142</v>
      </c>
      <c r="S24" s="33">
        <v>0.15</v>
      </c>
      <c r="T24" s="178"/>
      <c r="U24" s="205"/>
    </row>
    <row r="25" spans="1:21" ht="12.75" customHeight="1">
      <c r="A25" s="178"/>
      <c r="B25" s="178"/>
      <c r="C25" s="7" t="s">
        <v>110</v>
      </c>
      <c r="D25" s="37">
        <v>753</v>
      </c>
      <c r="E25" s="38" t="s">
        <v>119</v>
      </c>
      <c r="F25" s="33">
        <f>+'Seguim Proy inversión 2015'!F25/$D25</f>
        <v>0</v>
      </c>
      <c r="G25" s="33">
        <f>+'Seguim Proy inversión 2015'!G25/$D25</f>
        <v>0</v>
      </c>
      <c r="H25" s="33">
        <f>+'Seguim Proy inversión 2015'!H25/$D25</f>
        <v>7.9681274900398405E-3</v>
      </c>
      <c r="I25" s="33">
        <f>+'Seguim Proy inversión 2015'!I25/$D25</f>
        <v>8.8977423638778225E-2</v>
      </c>
      <c r="J25" s="33">
        <f>+'Seguim Proy inversión 2015'!J25/$D25</f>
        <v>9.5617529880478086E-2</v>
      </c>
      <c r="K25" s="33">
        <f>+'Seguim Proy inversión 2015'!K25/$D25</f>
        <v>0.22310756972111553</v>
      </c>
      <c r="L25" s="33">
        <f>+'Seguim Proy inversión 2015'!L25/$D25</f>
        <v>0.32005312084993359</v>
      </c>
      <c r="M25" s="33">
        <f>+'Seguim Proy inversión 2015'!M25/$D25</f>
        <v>0.10358565737051793</v>
      </c>
      <c r="N25" s="33">
        <f>+'Seguim Proy inversión 2015'!N25/$D25</f>
        <v>0.11553784860557768</v>
      </c>
      <c r="O25" s="33">
        <f>+'Seguim Proy inversión 2015'!O25/$D25</f>
        <v>3.9840637450199202E-2</v>
      </c>
      <c r="P25" s="33">
        <f>+'Seguim Proy inversión 2015'!P25/$D25</f>
        <v>2.6560424966799467E-3</v>
      </c>
      <c r="Q25" s="33">
        <f>+'Seguim Proy inversión 2015'!Q25/$D25</f>
        <v>3.9840637450199202E-2</v>
      </c>
      <c r="R25" s="33">
        <f>+'Seguim Proy inversión 2015'!R25/$D25</f>
        <v>1.0371845949535192</v>
      </c>
      <c r="S25" s="33">
        <v>0.25</v>
      </c>
      <c r="T25" s="178"/>
      <c r="U25" s="205"/>
    </row>
    <row r="26" spans="1:21" ht="12.75" customHeight="1">
      <c r="A26" s="178"/>
      <c r="B26" s="178"/>
      <c r="C26" s="7" t="s">
        <v>120</v>
      </c>
      <c r="D26" s="40">
        <v>0.2</v>
      </c>
      <c r="E26" s="38" t="s">
        <v>121</v>
      </c>
      <c r="F26" s="33">
        <f>+'Seguim Proy inversión 2015'!F26/$D26</f>
        <v>0</v>
      </c>
      <c r="G26" s="33">
        <f>+'Seguim Proy inversión 2015'!G26/$D26</f>
        <v>0</v>
      </c>
      <c r="H26" s="33">
        <f>+'Seguim Proy inversión 2015'!H26/$D26</f>
        <v>0</v>
      </c>
      <c r="I26" s="33">
        <f>+'Seguim Proy inversión 2015'!I26/$D26</f>
        <v>0</v>
      </c>
      <c r="J26" s="33">
        <f>+'Seguim Proy inversión 2015'!J26/$D26</f>
        <v>0</v>
      </c>
      <c r="K26" s="33">
        <f>+'Seguim Proy inversión 2015'!K26/$D26</f>
        <v>1</v>
      </c>
      <c r="L26" s="33">
        <f>+'Seguim Proy inversión 2015'!L26/$D26</f>
        <v>1</v>
      </c>
      <c r="M26" s="33">
        <f>+'Seguim Proy inversión 2015'!M26/$D26</f>
        <v>1</v>
      </c>
      <c r="N26" s="33">
        <f>+'Seguim Proy inversión 2015'!N26/$D26</f>
        <v>1</v>
      </c>
      <c r="O26" s="33">
        <f>+'Seguim Proy inversión 2015'!O26/$D26</f>
        <v>1</v>
      </c>
      <c r="P26" s="33">
        <f>+'Seguim Proy inversión 2015'!P26/$D26</f>
        <v>1</v>
      </c>
      <c r="Q26" s="33">
        <f>+'Seguim Proy inversión 2015'!Q26/$D26</f>
        <v>1</v>
      </c>
      <c r="R26" s="33">
        <f>+'Seguim Proy inversión 2015'!R26/$D26</f>
        <v>1</v>
      </c>
      <c r="S26" s="33">
        <v>0.15</v>
      </c>
      <c r="T26" s="178"/>
      <c r="U26" s="205"/>
    </row>
    <row r="27" spans="1:21" ht="12.75" customHeight="1">
      <c r="A27" s="178"/>
      <c r="B27" s="178"/>
      <c r="C27" s="42" t="s">
        <v>122</v>
      </c>
      <c r="D27" s="37">
        <v>85000</v>
      </c>
      <c r="E27" s="38" t="s">
        <v>116</v>
      </c>
      <c r="F27" s="33">
        <f>+'Seguim Proy inversión 2015'!F27/$D27</f>
        <v>0</v>
      </c>
      <c r="G27" s="33">
        <f>+'Seguim Proy inversión 2015'!G27/$D27</f>
        <v>7.0941176470588237E-3</v>
      </c>
      <c r="H27" s="33">
        <f>+'Seguim Proy inversión 2015'!H27/$D27</f>
        <v>6.0588235294117649E-3</v>
      </c>
      <c r="I27" s="33">
        <f>+'Seguim Proy inversión 2015'!I27/$D27</f>
        <v>3.2352941176470589E-3</v>
      </c>
      <c r="J27" s="33">
        <f>+'Seguim Proy inversión 2015'!J27/$D27</f>
        <v>0.58655294117647061</v>
      </c>
      <c r="K27" s="33">
        <f>+'Seguim Proy inversión 2015'!K27/$D27</f>
        <v>4.118823529411765E-2</v>
      </c>
      <c r="L27" s="33">
        <f>+'Seguim Proy inversión 2015'!L27/$D27</f>
        <v>1.5388235294117647E-2</v>
      </c>
      <c r="M27" s="33">
        <f>+'Seguim Proy inversión 2015'!M27/$D27</f>
        <v>6.6776470588235298E-2</v>
      </c>
      <c r="N27" s="33">
        <f>+'Seguim Proy inversión 2015'!N27/$D27</f>
        <v>0.1897764705882353</v>
      </c>
      <c r="O27" s="33">
        <f>+'Seguim Proy inversión 2015'!O27/$D27</f>
        <v>5.3894117647058822E-2</v>
      </c>
      <c r="P27" s="33">
        <f>+'Seguim Proy inversión 2015'!P27/$D27</f>
        <v>7.8694117647058817E-2</v>
      </c>
      <c r="Q27" s="33">
        <f>+'Seguim Proy inversión 2015'!Q27/$D27</f>
        <v>0.13142352941176472</v>
      </c>
      <c r="R27" s="33">
        <f>+'Seguim Proy inversión 2015'!R27/$D27</f>
        <v>1.1800823529411764</v>
      </c>
      <c r="S27" s="33">
        <v>0.15</v>
      </c>
      <c r="T27" s="178"/>
      <c r="U27" s="205"/>
    </row>
    <row r="28" spans="1:21" ht="12.75" customHeight="1">
      <c r="A28" s="178"/>
      <c r="B28" s="178"/>
      <c r="C28" s="42" t="s">
        <v>123</v>
      </c>
      <c r="D28" s="39">
        <v>10</v>
      </c>
      <c r="E28" s="38" t="s">
        <v>124</v>
      </c>
      <c r="F28" s="33">
        <f>+'Seguim Proy inversión 2015'!F28/$D28</f>
        <v>0</v>
      </c>
      <c r="G28" s="33">
        <f>+'Seguim Proy inversión 2015'!G28/$D28</f>
        <v>0</v>
      </c>
      <c r="H28" s="33">
        <f>+'Seguim Proy inversión 2015'!H28/$D28</f>
        <v>0</v>
      </c>
      <c r="I28" s="33">
        <f>+'Seguim Proy inversión 2015'!I28/$D28</f>
        <v>0</v>
      </c>
      <c r="J28" s="33">
        <f>+'Seguim Proy inversión 2015'!J28/$D28</f>
        <v>0</v>
      </c>
      <c r="K28" s="33">
        <f>+'Seguim Proy inversión 2015'!K28/$D28</f>
        <v>0</v>
      </c>
      <c r="L28" s="33">
        <f>+'Seguim Proy inversión 2015'!L28/$D28</f>
        <v>1</v>
      </c>
      <c r="M28" s="33">
        <f>+'Seguim Proy inversión 2015'!M28/$D28</f>
        <v>0</v>
      </c>
      <c r="N28" s="33">
        <f>+'Seguim Proy inversión 2015'!N28/$D28</f>
        <v>0</v>
      </c>
      <c r="O28" s="33">
        <f>+'Seguim Proy inversión 2015'!O28/$D28</f>
        <v>0</v>
      </c>
      <c r="P28" s="33">
        <f>+'Seguim Proy inversión 2015'!P28/$D28</f>
        <v>0</v>
      </c>
      <c r="Q28" s="33">
        <f>+'Seguim Proy inversión 2015'!Q28/$D28</f>
        <v>0</v>
      </c>
      <c r="R28" s="33">
        <f>+'Seguim Proy inversión 2015'!R28/$D28</f>
        <v>1</v>
      </c>
      <c r="S28" s="33">
        <v>0.05</v>
      </c>
      <c r="T28" s="178"/>
      <c r="U28" s="205"/>
    </row>
    <row r="29" spans="1:21" ht="12.75" customHeight="1">
      <c r="A29" s="178"/>
      <c r="B29" s="178"/>
      <c r="C29" s="42" t="s">
        <v>164</v>
      </c>
      <c r="D29" s="39">
        <v>5</v>
      </c>
      <c r="E29" s="38" t="s">
        <v>126</v>
      </c>
      <c r="F29" s="33">
        <f>+'Seguim Proy inversión 2015'!F29/$D29</f>
        <v>0</v>
      </c>
      <c r="G29" s="33">
        <f>+'Seguim Proy inversión 2015'!G29/$D29</f>
        <v>0</v>
      </c>
      <c r="H29" s="33">
        <f>+'Seguim Proy inversión 2015'!H29/$D29</f>
        <v>0.6</v>
      </c>
      <c r="I29" s="33">
        <f>+'Seguim Proy inversión 2015'!I29/$D29</f>
        <v>0.6</v>
      </c>
      <c r="J29" s="33">
        <f>+'Seguim Proy inversión 2015'!J29/$D29</f>
        <v>0.8</v>
      </c>
      <c r="K29" s="33">
        <f>+'Seguim Proy inversión 2015'!K29/$D29</f>
        <v>1</v>
      </c>
      <c r="L29" s="33">
        <f>+'Seguim Proy inversión 2015'!L29/$D29</f>
        <v>1</v>
      </c>
      <c r="M29" s="33">
        <f>+'Seguim Proy inversión 2015'!M29/$D29</f>
        <v>1</v>
      </c>
      <c r="N29" s="33">
        <f>+'Seguim Proy inversión 2015'!N29/$D29</f>
        <v>0</v>
      </c>
      <c r="O29" s="33">
        <f>+'Seguim Proy inversión 2015'!O29/$D29</f>
        <v>0</v>
      </c>
      <c r="P29" s="33">
        <f>+'Seguim Proy inversión 2015'!P29/$D29</f>
        <v>0</v>
      </c>
      <c r="Q29" s="33">
        <f>+'Seguim Proy inversión 2015'!Q29/$D29</f>
        <v>1</v>
      </c>
      <c r="R29" s="33">
        <f>+'Seguim Proy inversión 2015'!R29/$D29</f>
        <v>1</v>
      </c>
      <c r="S29" s="33">
        <v>0.05</v>
      </c>
      <c r="T29" s="178"/>
      <c r="U29" s="205"/>
    </row>
    <row r="30" spans="1:21" ht="12.75" customHeight="1">
      <c r="A30" s="178"/>
      <c r="B30" s="178">
        <v>783</v>
      </c>
      <c r="C30" s="42" t="s">
        <v>127</v>
      </c>
      <c r="D30" s="37">
        <v>2</v>
      </c>
      <c r="E30" s="38" t="s">
        <v>128</v>
      </c>
      <c r="F30" s="33">
        <f>+'Seguim Proy inversión 2015'!F30/$D30</f>
        <v>1</v>
      </c>
      <c r="G30" s="33">
        <f>+'Seguim Proy inversión 2015'!G30/$D30</f>
        <v>1</v>
      </c>
      <c r="H30" s="33">
        <f>+'Seguim Proy inversión 2015'!H30/$D30</f>
        <v>1</v>
      </c>
      <c r="I30" s="33">
        <f>+'Seguim Proy inversión 2015'!I30/$D30</f>
        <v>1</v>
      </c>
      <c r="J30" s="33">
        <f>+'Seguim Proy inversión 2015'!J30/$D30</f>
        <v>1</v>
      </c>
      <c r="K30" s="33">
        <f>+'Seguim Proy inversión 2015'!K30/$D30</f>
        <v>1</v>
      </c>
      <c r="L30" s="33">
        <f>+'Seguim Proy inversión 2015'!L30/$D30</f>
        <v>1</v>
      </c>
      <c r="M30" s="33">
        <f>+'Seguim Proy inversión 2015'!M30/$D30</f>
        <v>1</v>
      </c>
      <c r="N30" s="33">
        <f>+'Seguim Proy inversión 2015'!N30/$D30</f>
        <v>1</v>
      </c>
      <c r="O30" s="33">
        <f>+'Seguim Proy inversión 2015'!O30/$D30</f>
        <v>1</v>
      </c>
      <c r="P30" s="33">
        <f>+'Seguim Proy inversión 2015'!P30/$D30</f>
        <v>1</v>
      </c>
      <c r="Q30" s="33">
        <f>+'Seguim Proy inversión 2015'!Q30/$D30</f>
        <v>1</v>
      </c>
      <c r="R30" s="33">
        <f>+'Seguim Proy inversión 2015'!R30/$D30</f>
        <v>1</v>
      </c>
      <c r="S30" s="33">
        <v>0.2</v>
      </c>
      <c r="T30" s="178">
        <v>783</v>
      </c>
      <c r="U30" s="205">
        <f>+R30*S30+R31*S31+R32*S32+R33*S33+R34*S34</f>
        <v>1.3587300034013605</v>
      </c>
    </row>
    <row r="31" spans="1:21" ht="12.75" customHeight="1">
      <c r="A31" s="178"/>
      <c r="B31" s="178"/>
      <c r="C31" s="7" t="s">
        <v>129</v>
      </c>
      <c r="D31" s="43">
        <v>0.4</v>
      </c>
      <c r="E31" s="38" t="s">
        <v>130</v>
      </c>
      <c r="F31" s="33">
        <f>+'Seguim Proy inversión 2015'!F31/$D31</f>
        <v>0</v>
      </c>
      <c r="G31" s="33">
        <f>+'Seguim Proy inversión 2015'!G31/$D31</f>
        <v>0</v>
      </c>
      <c r="H31" s="33">
        <f>+'Seguim Proy inversión 2015'!H31/$D31</f>
        <v>0.78999999999999992</v>
      </c>
      <c r="I31" s="33">
        <f>+'Seguim Proy inversión 2015'!I31/$D31</f>
        <v>0.81774999999999998</v>
      </c>
      <c r="J31" s="33">
        <f>+'Seguim Proy inversión 2015'!J31/$D31</f>
        <v>0.84299999999999997</v>
      </c>
      <c r="K31" s="33">
        <f>+'Seguim Proy inversión 2015'!K31/$D31</f>
        <v>0.85175000000000001</v>
      </c>
      <c r="L31" s="33">
        <f>+'Seguim Proy inversión 2015'!L31/$D31</f>
        <v>0.85049999999999992</v>
      </c>
      <c r="M31" s="33">
        <f>+'Seguim Proy inversión 2015'!M31/$D31</f>
        <v>0.86949999999999994</v>
      </c>
      <c r="N31" s="33">
        <f>+'Seguim Proy inversión 2015'!N31/$D31</f>
        <v>0.87499999999999989</v>
      </c>
      <c r="O31" s="33">
        <f>+'Seguim Proy inversión 2015'!O31/$D31</f>
        <v>0.92499999999999993</v>
      </c>
      <c r="P31" s="33">
        <f>+'Seguim Proy inversión 2015'!P31/$D31</f>
        <v>0.92499999999999993</v>
      </c>
      <c r="Q31" s="33">
        <f>+'Seguim Proy inversión 2015'!Q31/$D31</f>
        <v>0.9375</v>
      </c>
      <c r="R31" s="33">
        <f>+'Seguim Proy inversión 2015'!R31/$D31</f>
        <v>0.9375</v>
      </c>
      <c r="S31" s="33">
        <v>0.1</v>
      </c>
      <c r="T31" s="178"/>
      <c r="U31" s="205"/>
    </row>
    <row r="32" spans="1:21" ht="12.75" customHeight="1">
      <c r="A32" s="178"/>
      <c r="B32" s="178"/>
      <c r="C32" s="42" t="s">
        <v>131</v>
      </c>
      <c r="D32" s="37">
        <v>300000</v>
      </c>
      <c r="E32" s="38" t="s">
        <v>116</v>
      </c>
      <c r="F32" s="33">
        <f>+'Seguim Proy inversión 2015'!F32/$D32</f>
        <v>9.7886666666666663E-2</v>
      </c>
      <c r="G32" s="33">
        <f>+'Seguim Proy inversión 2015'!G32/$D32</f>
        <v>6.6250000000000003E-2</v>
      </c>
      <c r="H32" s="33">
        <f>+'Seguim Proy inversión 2015'!H32/$D32</f>
        <v>0.12022666666666666</v>
      </c>
      <c r="I32" s="33">
        <f>+'Seguim Proy inversión 2015'!I32/$D32</f>
        <v>0.10802</v>
      </c>
      <c r="J32" s="33">
        <f>+'Seguim Proy inversión 2015'!J32/$D32</f>
        <v>9.9210000000000007E-2</v>
      </c>
      <c r="K32" s="33">
        <f>+'Seguim Proy inversión 2015'!K32/$D32</f>
        <v>0.13994666666666666</v>
      </c>
      <c r="L32" s="33">
        <f>+'Seguim Proy inversión 2015'!L32/$D32</f>
        <v>0.14520333333333332</v>
      </c>
      <c r="M32" s="33">
        <f>+'Seguim Proy inversión 2015'!M32/$D32</f>
        <v>0.14524666666666666</v>
      </c>
      <c r="N32" s="33">
        <f>+'Seguim Proy inversión 2015'!N32/$D32</f>
        <v>0.11125</v>
      </c>
      <c r="O32" s="33">
        <f>+'Seguim Proy inversión 2015'!O32/$D32</f>
        <v>0.16936999999999999</v>
      </c>
      <c r="P32" s="33">
        <f>+'Seguim Proy inversión 2015'!P32/$D32</f>
        <v>9.3396666666666669E-2</v>
      </c>
      <c r="Q32" s="33">
        <f>+'Seguim Proy inversión 2015'!Q32/$D32</f>
        <v>9.6496666666666661E-2</v>
      </c>
      <c r="R32" s="33">
        <f>+'Seguim Proy inversión 2015'!R32/$D32</f>
        <v>1.3925033333333334</v>
      </c>
      <c r="S32" s="33">
        <v>0.2</v>
      </c>
      <c r="T32" s="178"/>
      <c r="U32" s="205"/>
    </row>
    <row r="33" spans="1:21" ht="12.75" customHeight="1">
      <c r="A33" s="178"/>
      <c r="B33" s="178"/>
      <c r="C33" s="42" t="s">
        <v>165</v>
      </c>
      <c r="D33" s="37">
        <v>280000</v>
      </c>
      <c r="E33" s="38" t="s">
        <v>116</v>
      </c>
      <c r="F33" s="33">
        <f>+'Seguim Proy inversión 2015'!F33/$D33</f>
        <v>2.075357142857143E-2</v>
      </c>
      <c r="G33" s="33">
        <f>+'Seguim Proy inversión 2015'!G33/$D33</f>
        <v>5.4271428571428575E-2</v>
      </c>
      <c r="H33" s="33">
        <f>+'Seguim Proy inversión 2015'!H33/$D33</f>
        <v>6.6674999999999998E-2</v>
      </c>
      <c r="I33" s="33">
        <f>+'Seguim Proy inversión 2015'!I33/$D33</f>
        <v>0.30469642857142859</v>
      </c>
      <c r="J33" s="33">
        <f>+'Seguim Proy inversión 2015'!J33/$D33</f>
        <v>0.186975</v>
      </c>
      <c r="K33" s="33">
        <f>+'Seguim Proy inversión 2015'!K33/$D33</f>
        <v>0.11273571428571429</v>
      </c>
      <c r="L33" s="33">
        <f>+'Seguim Proy inversión 2015'!L33/$D33</f>
        <v>0.16278928571428572</v>
      </c>
      <c r="M33" s="33">
        <f>+'Seguim Proy inversión 2015'!M33/$D33</f>
        <v>0.15996071428571429</v>
      </c>
      <c r="N33" s="33">
        <f>+'Seguim Proy inversión 2015'!N33/$D33</f>
        <v>0.17471071428571427</v>
      </c>
      <c r="O33" s="33">
        <f>+'Seguim Proy inversión 2015'!O33/$D33</f>
        <v>0.15989285714285714</v>
      </c>
      <c r="P33" s="33">
        <f>+'Seguim Proy inversión 2015'!P33/$D33</f>
        <v>0.19191785714285714</v>
      </c>
      <c r="Q33" s="33">
        <f>+'Seguim Proy inversión 2015'!Q33/$D33</f>
        <v>0.15541785714285714</v>
      </c>
      <c r="R33" s="33">
        <f>+'Seguim Proy inversión 2015'!T33</f>
        <v>1.7291173469387755</v>
      </c>
      <c r="S33" s="33">
        <v>0.25</v>
      </c>
      <c r="T33" s="178"/>
      <c r="U33" s="205"/>
    </row>
    <row r="34" spans="1:21" ht="12.75" customHeight="1">
      <c r="A34" s="178"/>
      <c r="B34" s="178"/>
      <c r="C34" s="7" t="s">
        <v>117</v>
      </c>
      <c r="D34" s="37">
        <v>2500</v>
      </c>
      <c r="E34" s="38" t="s">
        <v>133</v>
      </c>
      <c r="F34" s="33">
        <f>+'Seguim Proy inversión 2015'!F34/$D34</f>
        <v>6.4000000000000001E-2</v>
      </c>
      <c r="G34" s="33">
        <f>+'Seguim Proy inversión 2015'!G34/$D34</f>
        <v>8.2400000000000001E-2</v>
      </c>
      <c r="H34" s="33">
        <f>+'Seguim Proy inversión 2015'!H34/$D34</f>
        <v>0.15479999999999999</v>
      </c>
      <c r="I34" s="33">
        <f>+'Seguim Proy inversión 2015'!I34/$D34</f>
        <v>0.1396</v>
      </c>
      <c r="J34" s="33">
        <f>+'Seguim Proy inversión 2015'!J34/$D34</f>
        <v>0.16120000000000001</v>
      </c>
      <c r="K34" s="33">
        <f>+'Seguim Proy inversión 2015'!K34/$D34</f>
        <v>0.20599999999999999</v>
      </c>
      <c r="L34" s="33">
        <f>+'Seguim Proy inversión 2015'!L34/$D34</f>
        <v>0.21959999999999999</v>
      </c>
      <c r="M34" s="33">
        <f>+'Seguim Proy inversión 2015'!M34/$D34</f>
        <v>0.1968</v>
      </c>
      <c r="N34" s="33">
        <f>+'Seguim Proy inversión 2015'!N34/$D34</f>
        <v>0.19120000000000001</v>
      </c>
      <c r="O34" s="33">
        <f>+'Seguim Proy inversión 2015'!O34/$D34</f>
        <v>0.22040000000000001</v>
      </c>
      <c r="P34" s="33">
        <f>+'Seguim Proy inversión 2015'!P34/$D34</f>
        <v>0.188</v>
      </c>
      <c r="Q34" s="33">
        <f>+'Seguim Proy inversión 2015'!Q34/$D34</f>
        <v>0.2208</v>
      </c>
      <c r="R34" s="33">
        <f>+'Seguim Proy inversión 2015'!T34</f>
        <v>1.4168000000000001</v>
      </c>
      <c r="S34" s="33">
        <v>0.25</v>
      </c>
      <c r="T34" s="178"/>
      <c r="U34" s="205"/>
    </row>
    <row r="35" spans="1:21" ht="12.75" customHeight="1">
      <c r="A35" s="178"/>
      <c r="B35" s="178">
        <v>792</v>
      </c>
      <c r="C35" s="7" t="s">
        <v>134</v>
      </c>
      <c r="D35" s="39">
        <v>8</v>
      </c>
      <c r="E35" s="38" t="s">
        <v>135</v>
      </c>
      <c r="F35" s="33">
        <f>+'Seguim Proy inversión 2015'!F35/$D35</f>
        <v>1</v>
      </c>
      <c r="G35" s="33">
        <f>+'Seguim Proy inversión 2015'!G35/$D35</f>
        <v>1</v>
      </c>
      <c r="H35" s="33">
        <f>+'Seguim Proy inversión 2015'!H35/$D35</f>
        <v>1</v>
      </c>
      <c r="I35" s="33">
        <f>+'Seguim Proy inversión 2015'!I35/$D35</f>
        <v>1</v>
      </c>
      <c r="J35" s="33">
        <f>+'Seguim Proy inversión 2015'!J35/$D35</f>
        <v>1</v>
      </c>
      <c r="K35" s="33">
        <f>+'Seguim Proy inversión 2015'!K35/$D35</f>
        <v>1</v>
      </c>
      <c r="L35" s="33">
        <f>+'Seguim Proy inversión 2015'!L35/$D35</f>
        <v>1</v>
      </c>
      <c r="M35" s="33">
        <f>+'Seguim Proy inversión 2015'!M35/$D35</f>
        <v>1</v>
      </c>
      <c r="N35" s="33">
        <f>+'Seguim Proy inversión 2015'!N35/$D35</f>
        <v>1</v>
      </c>
      <c r="O35" s="33">
        <f>+'Seguim Proy inversión 2015'!O35/$D35</f>
        <v>1</v>
      </c>
      <c r="P35" s="33">
        <f>+'Seguim Proy inversión 2015'!P35/$D35</f>
        <v>1</v>
      </c>
      <c r="Q35" s="33">
        <f>+'Seguim Proy inversión 2015'!Q35/$D35</f>
        <v>1</v>
      </c>
      <c r="R35" s="33">
        <f>+'Seguim Proy inversión 2015'!R35/$D35</f>
        <v>1</v>
      </c>
      <c r="S35" s="33">
        <v>0.30000000000000004</v>
      </c>
      <c r="T35" s="178">
        <v>792</v>
      </c>
      <c r="U35" s="205">
        <f>+R35*S35+R36*S36+R37*S37+R38*S38</f>
        <v>0.78</v>
      </c>
    </row>
    <row r="36" spans="1:21" ht="12.75" customHeight="1">
      <c r="A36" s="178"/>
      <c r="B36" s="178"/>
      <c r="C36" s="7" t="s">
        <v>134</v>
      </c>
      <c r="D36" s="39">
        <v>2</v>
      </c>
      <c r="E36" s="38" t="s">
        <v>136</v>
      </c>
      <c r="F36" s="33">
        <f>+'Seguim Proy inversión 2015'!F36/$D36</f>
        <v>1</v>
      </c>
      <c r="G36" s="33">
        <f>+'Seguim Proy inversión 2015'!G36/$D36</f>
        <v>1</v>
      </c>
      <c r="H36" s="33">
        <f>+'Seguim Proy inversión 2015'!H36/$D36</f>
        <v>1</v>
      </c>
      <c r="I36" s="33">
        <f>+'Seguim Proy inversión 2015'!I36/$D36</f>
        <v>1</v>
      </c>
      <c r="J36" s="33">
        <f>+'Seguim Proy inversión 2015'!J36/$D36</f>
        <v>1</v>
      </c>
      <c r="K36" s="33">
        <f>+'Seguim Proy inversión 2015'!K36/$D36</f>
        <v>1</v>
      </c>
      <c r="L36" s="33">
        <f>+'Seguim Proy inversión 2015'!L36/$D36</f>
        <v>1</v>
      </c>
      <c r="M36" s="33">
        <f>+'Seguim Proy inversión 2015'!M36/$D36</f>
        <v>1</v>
      </c>
      <c r="N36" s="33">
        <f>+'Seguim Proy inversión 2015'!N36/$D36</f>
        <v>1</v>
      </c>
      <c r="O36" s="33">
        <f>+'Seguim Proy inversión 2015'!O36/$D36</f>
        <v>1</v>
      </c>
      <c r="P36" s="33">
        <f>+'Seguim Proy inversión 2015'!P36/$D36</f>
        <v>1</v>
      </c>
      <c r="Q36" s="33">
        <f>+'Seguim Proy inversión 2015'!Q36/$D36</f>
        <v>1</v>
      </c>
      <c r="R36" s="33">
        <f>+'Seguim Proy inversión 2015'!R36/$D36</f>
        <v>1</v>
      </c>
      <c r="S36" s="33">
        <v>0.2</v>
      </c>
      <c r="T36" s="178"/>
      <c r="U36" s="205"/>
    </row>
    <row r="37" spans="1:21" ht="12.75" customHeight="1">
      <c r="A37" s="178"/>
      <c r="B37" s="178"/>
      <c r="C37" s="7" t="s">
        <v>137</v>
      </c>
      <c r="D37" s="43">
        <v>0.5</v>
      </c>
      <c r="E37" s="38" t="s">
        <v>138</v>
      </c>
      <c r="F37" s="33">
        <f>+'Seguim Proy inversión 2015'!F37/$D37</f>
        <v>0</v>
      </c>
      <c r="G37" s="33">
        <f>+'Seguim Proy inversión 2015'!G37/$D37</f>
        <v>0</v>
      </c>
      <c r="H37" s="33">
        <f>+'Seguim Proy inversión 2015'!H37/$D37</f>
        <v>0.5</v>
      </c>
      <c r="I37" s="33">
        <f>+'Seguim Proy inversión 2015'!I37/$D37</f>
        <v>0.5</v>
      </c>
      <c r="J37" s="33">
        <f>+'Seguim Proy inversión 2015'!J37/$D37</f>
        <v>0.5</v>
      </c>
      <c r="K37" s="33">
        <f>+'Seguim Proy inversión 2015'!K37/$D37</f>
        <v>0.5</v>
      </c>
      <c r="L37" s="33">
        <f>+'Seguim Proy inversión 2015'!L37/$D37</f>
        <v>0.5</v>
      </c>
      <c r="M37" s="33">
        <f>+'Seguim Proy inversión 2015'!M37/$D37</f>
        <v>0.5</v>
      </c>
      <c r="N37" s="33">
        <f>+'Seguim Proy inversión 2015'!N37/$D37</f>
        <v>0.5</v>
      </c>
      <c r="O37" s="33">
        <f>+'Seguim Proy inversión 2015'!O37/$D37</f>
        <v>0.60000000000000009</v>
      </c>
      <c r="P37" s="33">
        <f>+'Seguim Proy inversión 2015'!P37/$D37</f>
        <v>0.60000000000000009</v>
      </c>
      <c r="Q37" s="33">
        <f>+'Seguim Proy inversión 2015'!Q37/$D37</f>
        <v>0.60000000000000009</v>
      </c>
      <c r="R37" s="33">
        <f>+'Seguim Proy inversión 2015'!R37/$D37</f>
        <v>0.60000000000000009</v>
      </c>
      <c r="S37" s="33">
        <v>0.4</v>
      </c>
      <c r="T37" s="178"/>
      <c r="U37" s="205"/>
    </row>
    <row r="38" spans="1:21" ht="12.75" customHeight="1">
      <c r="A38" s="178"/>
      <c r="B38" s="178"/>
      <c r="C38" s="42" t="s">
        <v>139</v>
      </c>
      <c r="D38" s="39">
        <v>1</v>
      </c>
      <c r="E38" s="38" t="s">
        <v>140</v>
      </c>
      <c r="F38" s="33">
        <f>+'Seguim Proy inversión 2015'!F38/$D38</f>
        <v>0</v>
      </c>
      <c r="G38" s="33">
        <f>+'Seguim Proy inversión 2015'!G38/$D38</f>
        <v>0</v>
      </c>
      <c r="H38" s="33">
        <f>+'Seguim Proy inversión 2015'!H38/$D38</f>
        <v>0</v>
      </c>
      <c r="I38" s="33">
        <f>+'Seguim Proy inversión 2015'!I38/$D38</f>
        <v>0</v>
      </c>
      <c r="J38" s="33">
        <f>+'Seguim Proy inversión 2015'!J38/$D38</f>
        <v>0</v>
      </c>
      <c r="K38" s="33">
        <f>+'Seguim Proy inversión 2015'!K38/$D38</f>
        <v>0.2</v>
      </c>
      <c r="L38" s="33">
        <f>+'Seguim Proy inversión 2015'!L38/$D38</f>
        <v>0.2</v>
      </c>
      <c r="M38" s="33">
        <f>+'Seguim Proy inversión 2015'!M38/$D38</f>
        <v>0.2</v>
      </c>
      <c r="N38" s="33">
        <f>+'Seguim Proy inversión 2015'!N38/$D38</f>
        <v>0.4</v>
      </c>
      <c r="O38" s="33">
        <f>+'Seguim Proy inversión 2015'!O38/$D38</f>
        <v>0.4</v>
      </c>
      <c r="P38" s="33">
        <f>+'Seguim Proy inversión 2015'!P38/$D38</f>
        <v>0.4</v>
      </c>
      <c r="Q38" s="33">
        <f>+'Seguim Proy inversión 2015'!Q38/$D38</f>
        <v>0.4</v>
      </c>
      <c r="R38" s="33">
        <f>+'Seguim Proy inversión 2015'!R38/$D38</f>
        <v>0.4</v>
      </c>
      <c r="S38" s="33">
        <v>0.1</v>
      </c>
      <c r="T38" s="178"/>
      <c r="U38" s="205"/>
    </row>
    <row r="39" spans="1:21" ht="12.75" customHeight="1">
      <c r="A39" s="178"/>
      <c r="B39" s="7">
        <v>787</v>
      </c>
      <c r="C39" s="7" t="s">
        <v>141</v>
      </c>
      <c r="D39" s="39">
        <v>2</v>
      </c>
      <c r="E39" s="38" t="s">
        <v>142</v>
      </c>
      <c r="F39" s="33">
        <f>+'Seguim Proy inversión 2015'!F39/$D39</f>
        <v>0</v>
      </c>
      <c r="G39" s="33">
        <f>+'Seguim Proy inversión 2015'!G39/$D39</f>
        <v>0</v>
      </c>
      <c r="H39" s="33">
        <f>+'Seguim Proy inversión 2015'!H39/$D39</f>
        <v>0</v>
      </c>
      <c r="I39" s="33">
        <f>+'Seguim Proy inversión 2015'!I39/$D39</f>
        <v>0</v>
      </c>
      <c r="J39" s="33">
        <f>+'Seguim Proy inversión 2015'!J39/$D39</f>
        <v>0</v>
      </c>
      <c r="K39" s="33">
        <f>+'Seguim Proy inversión 2015'!K39/$D39</f>
        <v>0.5</v>
      </c>
      <c r="L39" s="33">
        <f>+'Seguim Proy inversión 2015'!L39/$D39</f>
        <v>0</v>
      </c>
      <c r="M39" s="33">
        <f>+'Seguim Proy inversión 2015'!M39/$D39</f>
        <v>0</v>
      </c>
      <c r="N39" s="33">
        <f>+'Seguim Proy inversión 2015'!N39/$D39</f>
        <v>0.5</v>
      </c>
      <c r="O39" s="33">
        <f>+'Seguim Proy inversión 2015'!O39/$D39</f>
        <v>0.5</v>
      </c>
      <c r="P39" s="33">
        <f>+'Seguim Proy inversión 2015'!P39/$D39</f>
        <v>0.5</v>
      </c>
      <c r="Q39" s="33">
        <f>+'Seguim Proy inversión 2015'!Q39/$D39</f>
        <v>0.5</v>
      </c>
      <c r="R39" s="33">
        <f>+'Seguim Proy inversión 2015'!R39/$D39</f>
        <v>0.5</v>
      </c>
      <c r="S39" s="33">
        <v>1</v>
      </c>
      <c r="T39" s="7">
        <v>787</v>
      </c>
      <c r="U39" s="33">
        <f>+S39</f>
        <v>1</v>
      </c>
    </row>
    <row r="40" spans="1:21" ht="12.75" customHeight="1">
      <c r="A40" s="178"/>
      <c r="B40" s="178">
        <v>944</v>
      </c>
      <c r="C40" s="7" t="s">
        <v>143</v>
      </c>
      <c r="D40" s="39">
        <v>6</v>
      </c>
      <c r="E40" s="38" t="s">
        <v>144</v>
      </c>
      <c r="F40" s="33">
        <f>+'Seguim Proy inversión 2015'!F40/$D40</f>
        <v>0</v>
      </c>
      <c r="G40" s="33">
        <f>+'Seguim Proy inversión 2015'!G40/$D40</f>
        <v>0.33333333333333331</v>
      </c>
      <c r="H40" s="33">
        <f>+'Seguim Proy inversión 2015'!H40/$D40</f>
        <v>0.33333333333333331</v>
      </c>
      <c r="I40" s="33">
        <f>+'Seguim Proy inversión 2015'!I40/$D40</f>
        <v>0.33333333333333331</v>
      </c>
      <c r="J40" s="33">
        <f>+'Seguim Proy inversión 2015'!J40/$D40</f>
        <v>0.5</v>
      </c>
      <c r="K40" s="33">
        <f>+'Seguim Proy inversión 2015'!K40/$D40</f>
        <v>0.66666666666666663</v>
      </c>
      <c r="L40" s="33">
        <f>+'Seguim Proy inversión 2015'!L40/$D40</f>
        <v>0.66666666666666663</v>
      </c>
      <c r="M40" s="33">
        <f>+'Seguim Proy inversión 2015'!M40/$D40</f>
        <v>0.83333333333333337</v>
      </c>
      <c r="N40" s="33">
        <f>+'Seguim Proy inversión 2015'!N40/$D40</f>
        <v>0.83333333333333337</v>
      </c>
      <c r="O40" s="33">
        <f>+'Seguim Proy inversión 2015'!O40/$D40</f>
        <v>0.83333333333333337</v>
      </c>
      <c r="P40" s="33">
        <f>+'Seguim Proy inversión 2015'!P40/$D40</f>
        <v>1</v>
      </c>
      <c r="Q40" s="33">
        <f>+'Seguim Proy inversión 2015'!Q40/$D40</f>
        <v>1</v>
      </c>
      <c r="R40" s="33">
        <f>+'Seguim Proy inversión 2015'!R40/$D40</f>
        <v>1</v>
      </c>
      <c r="S40" s="33">
        <v>1</v>
      </c>
      <c r="T40" s="178">
        <v>944</v>
      </c>
      <c r="U40" s="205">
        <f>+R40*S40</f>
        <v>1</v>
      </c>
    </row>
    <row r="41" spans="1:21" ht="12.75" customHeight="1">
      <c r="A41" s="178"/>
      <c r="B41" s="178"/>
      <c r="C41" s="7" t="s">
        <v>145</v>
      </c>
      <c r="D41" s="37">
        <v>2800</v>
      </c>
      <c r="E41" s="38" t="s">
        <v>116</v>
      </c>
      <c r="F41" s="33">
        <f>+'Seguim Proy inversión 2015'!F41/$D41</f>
        <v>0</v>
      </c>
      <c r="G41" s="33">
        <f>+'Seguim Proy inversión 2015'!G41/$D41</f>
        <v>0</v>
      </c>
      <c r="H41" s="33">
        <f>+'Seguim Proy inversión 2015'!H41/$D41</f>
        <v>0</v>
      </c>
      <c r="I41" s="33">
        <f>+'Seguim Proy inversión 2015'!I41/$D41</f>
        <v>0</v>
      </c>
      <c r="J41" s="33">
        <f>+'Seguim Proy inversión 2015'!J41/$D41</f>
        <v>0</v>
      </c>
      <c r="K41" s="33">
        <f>+'Seguim Proy inversión 2015'!K41/$D41</f>
        <v>1.0714285714285714E-2</v>
      </c>
      <c r="L41" s="33">
        <f>+'Seguim Proy inversión 2015'!L41/$D41</f>
        <v>0</v>
      </c>
      <c r="M41" s="33">
        <f>+'Seguim Proy inversión 2015'!M41/$D41</f>
        <v>0</v>
      </c>
      <c r="N41" s="33">
        <f>+'Seguim Proy inversión 2015'!N41/$D41</f>
        <v>0</v>
      </c>
      <c r="O41" s="33">
        <f>+'Seguim Proy inversión 2015'!O41/$D41</f>
        <v>0</v>
      </c>
      <c r="P41" s="33">
        <f>+'Seguim Proy inversión 2015'!P41/$D41</f>
        <v>0</v>
      </c>
      <c r="Q41" s="33">
        <f>+'Seguim Proy inversión 2015'!Q41/$D41</f>
        <v>0</v>
      </c>
      <c r="R41" s="33" t="e">
        <f>+'Seguim Proy inversión 2015'!R41/$D41</f>
        <v>#VALUE!</v>
      </c>
      <c r="S41" s="33"/>
      <c r="T41" s="178"/>
      <c r="U41" s="205"/>
    </row>
    <row r="42" spans="1:21" ht="12.75" customHeight="1">
      <c r="A42" s="178"/>
      <c r="B42" s="178"/>
      <c r="C42" s="7" t="s">
        <v>147</v>
      </c>
      <c r="D42" s="39">
        <v>1</v>
      </c>
      <c r="E42" s="38" t="s">
        <v>148</v>
      </c>
      <c r="F42" s="33">
        <f>+'Seguim Proy inversión 2015'!F42/$D42</f>
        <v>0</v>
      </c>
      <c r="G42" s="33">
        <f>+'Seguim Proy inversión 2015'!G42/$D42</f>
        <v>0</v>
      </c>
      <c r="H42" s="33">
        <f>+'Seguim Proy inversión 2015'!H42/$D42</f>
        <v>0</v>
      </c>
      <c r="I42" s="33">
        <f>+'Seguim Proy inversión 2015'!I42/$D42</f>
        <v>0</v>
      </c>
      <c r="J42" s="33">
        <f>+'Seguim Proy inversión 2015'!J42/$D42</f>
        <v>0</v>
      </c>
      <c r="K42" s="33">
        <f>+'Seguim Proy inversión 2015'!K42/$D42</f>
        <v>0</v>
      </c>
      <c r="L42" s="33">
        <f>+'Seguim Proy inversión 2015'!L42/$D42</f>
        <v>0</v>
      </c>
      <c r="M42" s="33">
        <f>+'Seguim Proy inversión 2015'!M42/$D42</f>
        <v>0</v>
      </c>
      <c r="N42" s="33">
        <f>+'Seguim Proy inversión 2015'!N42/$D42</f>
        <v>0</v>
      </c>
      <c r="O42" s="33">
        <f>+'Seguim Proy inversión 2015'!O42/$D42</f>
        <v>0</v>
      </c>
      <c r="P42" s="33">
        <f>+'Seguim Proy inversión 2015'!P42/$D42</f>
        <v>0</v>
      </c>
      <c r="Q42" s="33">
        <f>+'Seguim Proy inversión 2015'!Q42/$D42</f>
        <v>0</v>
      </c>
      <c r="R42" s="33">
        <v>0</v>
      </c>
      <c r="S42" s="33"/>
      <c r="T42" s="178"/>
      <c r="U42" s="205"/>
    </row>
    <row r="43" spans="1:21" ht="12.75" customHeight="1">
      <c r="A43" s="178"/>
      <c r="B43" s="178">
        <v>784</v>
      </c>
      <c r="C43" s="7" t="s">
        <v>149</v>
      </c>
      <c r="D43" s="39">
        <v>1</v>
      </c>
      <c r="E43" s="38" t="s">
        <v>150</v>
      </c>
      <c r="F43" s="33">
        <f>+'Seguim Proy inversión 2015'!F43/$D43</f>
        <v>1</v>
      </c>
      <c r="G43" s="33">
        <f>+'Seguim Proy inversión 2015'!G43/$D43</f>
        <v>1</v>
      </c>
      <c r="H43" s="33">
        <f>+'Seguim Proy inversión 2015'!H43/$D43</f>
        <v>1</v>
      </c>
      <c r="I43" s="33">
        <f>+'Seguim Proy inversión 2015'!I43/$D43</f>
        <v>1</v>
      </c>
      <c r="J43" s="33">
        <f>+'Seguim Proy inversión 2015'!J43/$D43</f>
        <v>1</v>
      </c>
      <c r="K43" s="33">
        <f>+'Seguim Proy inversión 2015'!K43/$D43</f>
        <v>1</v>
      </c>
      <c r="L43" s="33">
        <f>+'Seguim Proy inversión 2015'!L43/$D43</f>
        <v>1</v>
      </c>
      <c r="M43" s="33">
        <f>+'Seguim Proy inversión 2015'!M43/$D43</f>
        <v>1</v>
      </c>
      <c r="N43" s="33">
        <f>+'Seguim Proy inversión 2015'!N43/$D43</f>
        <v>1</v>
      </c>
      <c r="O43" s="33">
        <f>+'Seguim Proy inversión 2015'!O43/$D43</f>
        <v>1</v>
      </c>
      <c r="P43" s="33">
        <f>+'Seguim Proy inversión 2015'!P43/$D43</f>
        <v>1</v>
      </c>
      <c r="Q43" s="33">
        <f>+'Seguim Proy inversión 2015'!Q43/$D43</f>
        <v>1</v>
      </c>
      <c r="R43" s="33">
        <f>+'Seguim Proy inversión 2015'!R43/$D43</f>
        <v>1</v>
      </c>
      <c r="S43" s="33">
        <v>0.30000000000000004</v>
      </c>
      <c r="T43" s="178">
        <v>784</v>
      </c>
      <c r="U43" s="205">
        <f>+R43*S43+R44*S44+R45*S45</f>
        <v>0.93500000000000005</v>
      </c>
    </row>
    <row r="44" spans="1:21" ht="12.75" customHeight="1">
      <c r="A44" s="178"/>
      <c r="B44" s="178"/>
      <c r="C44" s="7" t="s">
        <v>151</v>
      </c>
      <c r="D44" s="37">
        <v>2</v>
      </c>
      <c r="E44" s="38" t="s">
        <v>152</v>
      </c>
      <c r="F44" s="33">
        <f>+'Seguim Proy inversión 2015'!F44/$D44</f>
        <v>0.5</v>
      </c>
      <c r="G44" s="33">
        <f>+'Seguim Proy inversión 2015'!G44/$D44</f>
        <v>0.5</v>
      </c>
      <c r="H44" s="33">
        <f>+'Seguim Proy inversión 2015'!H44/$D44</f>
        <v>0.5</v>
      </c>
      <c r="I44" s="33">
        <f>+'Seguim Proy inversión 2015'!I44/$D44</f>
        <v>0.5</v>
      </c>
      <c r="J44" s="33">
        <f>+'Seguim Proy inversión 2015'!J44/$D44</f>
        <v>0.5</v>
      </c>
      <c r="K44" s="33">
        <f>+'Seguim Proy inversión 2015'!K44/$D44</f>
        <v>0.5</v>
      </c>
      <c r="L44" s="33">
        <f>+'Seguim Proy inversión 2015'!L44/$D44</f>
        <v>0.5</v>
      </c>
      <c r="M44" s="33">
        <f>+'Seguim Proy inversión 2015'!M44/$D44</f>
        <v>0.5</v>
      </c>
      <c r="N44" s="33">
        <f>+'Seguim Proy inversión 2015'!N44/$D44</f>
        <v>0.5</v>
      </c>
      <c r="O44" s="33">
        <f>+'Seguim Proy inversión 2015'!O44/$D44</f>
        <v>0.5</v>
      </c>
      <c r="P44" s="33">
        <f>+'Seguim Proy inversión 2015'!P44/$D44</f>
        <v>0.5</v>
      </c>
      <c r="Q44" s="33">
        <f>+'Seguim Proy inversión 2015'!Q44/$D44</f>
        <v>0.5</v>
      </c>
      <c r="R44" s="33">
        <f>+'Seguim Proy inversión 2015'!R44/$D44</f>
        <v>0.5</v>
      </c>
      <c r="S44" s="33">
        <v>0.1</v>
      </c>
      <c r="T44" s="178"/>
      <c r="U44" s="205"/>
    </row>
    <row r="45" spans="1:21" ht="12.75" customHeight="1">
      <c r="A45" s="178"/>
      <c r="B45" s="178"/>
      <c r="C45" s="7" t="s">
        <v>153</v>
      </c>
      <c r="D45" s="43">
        <v>0.8</v>
      </c>
      <c r="E45" s="38" t="s">
        <v>154</v>
      </c>
      <c r="F45" s="33">
        <f>+'Seguim Proy inversión 2015'!F45/$D45</f>
        <v>0</v>
      </c>
      <c r="G45" s="33">
        <f>+'Seguim Proy inversión 2015'!G45/$D45</f>
        <v>0</v>
      </c>
      <c r="H45" s="33">
        <f>+'Seguim Proy inversión 2015'!H45/$D45</f>
        <v>0.77499999999999991</v>
      </c>
      <c r="I45" s="33">
        <f>+'Seguim Proy inversión 2015'!I45/$D45</f>
        <v>0.77499999999999991</v>
      </c>
      <c r="J45" s="33">
        <f>+'Seguim Proy inversión 2015'!J45/$D45</f>
        <v>0.77499999999999991</v>
      </c>
      <c r="K45" s="33">
        <f>+'Seguim Proy inversión 2015'!K45/$D45</f>
        <v>0.85187499999999994</v>
      </c>
      <c r="L45" s="33">
        <f>+'Seguim Proy inversión 2015'!L45/$D45</f>
        <v>0</v>
      </c>
      <c r="M45" s="33">
        <f>+'Seguim Proy inversión 2015'!M45/$D45</f>
        <v>0</v>
      </c>
      <c r="N45" s="33">
        <f>+'Seguim Proy inversión 2015'!N45/$D45</f>
        <v>0.89249999999999996</v>
      </c>
      <c r="O45" s="33">
        <f>+'Seguim Proy inversión 2015'!O45/$D45</f>
        <v>0.88924999999999998</v>
      </c>
      <c r="P45" s="33">
        <f>+'Seguim Proy inversión 2015'!P45/$D45</f>
        <v>0.89249999999999996</v>
      </c>
      <c r="Q45" s="33">
        <f>+'Seguim Proy inversión 2015'!Q45/$D45</f>
        <v>0.97499999999999998</v>
      </c>
      <c r="R45" s="33">
        <f>+'Seguim Proy inversión 2015'!R45/$D45</f>
        <v>0.97499999999999998</v>
      </c>
      <c r="S45" s="33">
        <v>0.60000000000000009</v>
      </c>
      <c r="T45" s="178"/>
      <c r="U45" s="205"/>
    </row>
    <row r="46" spans="1:21" ht="12.75" customHeight="1">
      <c r="A46" s="178"/>
      <c r="B46" s="178">
        <v>794</v>
      </c>
      <c r="C46" s="7" t="s">
        <v>113</v>
      </c>
      <c r="D46" s="37">
        <v>1000000</v>
      </c>
      <c r="E46" s="38" t="s">
        <v>155</v>
      </c>
      <c r="F46" s="33">
        <f>+'Seguim Proy inversión 2015'!F46/$D46</f>
        <v>1.0103</v>
      </c>
      <c r="G46" s="33">
        <f>+'Seguim Proy inversión 2015'!G46/$D46</f>
        <v>1.0103</v>
      </c>
      <c r="H46" s="33">
        <f>+'Seguim Proy inversión 2015'!H46/$D46</f>
        <v>1.049018</v>
      </c>
      <c r="I46" s="33">
        <f>+'Seguim Proy inversión 2015'!I46/$D46</f>
        <v>1.084387</v>
      </c>
      <c r="J46" s="33">
        <f>+'Seguim Proy inversión 2015'!J46/$D46</f>
        <v>1.1150450000000001</v>
      </c>
      <c r="K46" s="33">
        <f>+'Seguim Proy inversión 2015'!K46/$D46</f>
        <v>1.156058</v>
      </c>
      <c r="L46" s="33">
        <f>+'Seguim Proy inversión 2015'!L46/$D46</f>
        <v>1.196407</v>
      </c>
      <c r="M46" s="33">
        <f>+'Seguim Proy inversión 2015'!M46/$D46</f>
        <v>1.2028000000000001</v>
      </c>
      <c r="N46" s="33">
        <f>+'Seguim Proy inversión 2015'!N46/$D46</f>
        <v>1.26478</v>
      </c>
      <c r="O46" s="33">
        <f>+'Seguim Proy inversión 2015'!O46/$D46</f>
        <v>1.307239</v>
      </c>
      <c r="P46" s="33">
        <f>+'Seguim Proy inversión 2015'!P46/$D46</f>
        <v>1.352792</v>
      </c>
      <c r="Q46" s="33">
        <f>+'Seguim Proy inversión 2015'!Q46/$D46</f>
        <v>1.3688</v>
      </c>
      <c r="R46" s="33">
        <f>+'Seguim Proy inversión 2015'!R46/$D46</f>
        <v>1.3688</v>
      </c>
      <c r="S46" s="33">
        <v>0.2</v>
      </c>
      <c r="T46" s="178">
        <v>794</v>
      </c>
      <c r="U46" s="205">
        <f>+R46*S46+R47*S47+R48*S48</f>
        <v>1.6901600000000001</v>
      </c>
    </row>
    <row r="47" spans="1:21" ht="12.75" customHeight="1">
      <c r="A47" s="178"/>
      <c r="B47" s="178"/>
      <c r="C47" s="7" t="s">
        <v>113</v>
      </c>
      <c r="D47" s="37">
        <v>3000</v>
      </c>
      <c r="E47" s="38" t="s">
        <v>156</v>
      </c>
      <c r="F47" s="33">
        <f>+'Seguim Proy inversión 2015'!F47/$D47</f>
        <v>2.4333333333333332E-2</v>
      </c>
      <c r="G47" s="33">
        <f>+'Seguim Proy inversión 2015'!G47/$D47</f>
        <v>2.9000000000000001E-2</v>
      </c>
      <c r="H47" s="33">
        <f>+'Seguim Proy inversión 2015'!H47/$D47</f>
        <v>4.8666666666666664E-2</v>
      </c>
      <c r="I47" s="33">
        <f>+'Seguim Proy inversión 2015'!I47/$D47</f>
        <v>4.3333333333333335E-2</v>
      </c>
      <c r="J47" s="33">
        <f>+'Seguim Proy inversión 2015'!J47/$D47</f>
        <v>0.11066666666666666</v>
      </c>
      <c r="K47" s="33">
        <f>+'Seguim Proy inversión 2015'!K47/$D47</f>
        <v>0.15533333333333332</v>
      </c>
      <c r="L47" s="33">
        <f>+'Seguim Proy inversión 2015'!L47/$D47</f>
        <v>0.14333333333333334</v>
      </c>
      <c r="M47" s="33">
        <f>+'Seguim Proy inversión 2015'!M47/$D47</f>
        <v>0.39633333333333332</v>
      </c>
      <c r="N47" s="33">
        <f>+'Seguim Proy inversión 2015'!N47/$D47</f>
        <v>0.29033333333333333</v>
      </c>
      <c r="O47" s="33">
        <f>+'Seguim Proy inversión 2015'!O47/$D47</f>
        <v>0.29266666666666669</v>
      </c>
      <c r="P47" s="33">
        <f>+'Seguim Proy inversión 2015'!P47/$D47</f>
        <v>0.27866666666666667</v>
      </c>
      <c r="Q47" s="33">
        <f>+'Seguim Proy inversión 2015'!Q47/$D47</f>
        <v>0.21466666666666667</v>
      </c>
      <c r="R47" s="33">
        <f>+'Seguim Proy inversión 2015'!R47/$D47</f>
        <v>2.0273333333333334</v>
      </c>
      <c r="S47" s="33">
        <v>0.60000000000000009</v>
      </c>
      <c r="T47" s="178"/>
      <c r="U47" s="205"/>
    </row>
    <row r="48" spans="1:21" ht="12.75" customHeight="1">
      <c r="A48" s="178"/>
      <c r="B48" s="178"/>
      <c r="C48" s="7" t="s">
        <v>157</v>
      </c>
      <c r="D48" s="37">
        <v>1</v>
      </c>
      <c r="E48" s="38" t="s">
        <v>158</v>
      </c>
      <c r="F48" s="33">
        <f>+'Seguim Proy inversión 2015'!F48/$D48</f>
        <v>1</v>
      </c>
      <c r="G48" s="33">
        <f>+'Seguim Proy inversión 2015'!G48/$D48</f>
        <v>1</v>
      </c>
      <c r="H48" s="33">
        <f>+'Seguim Proy inversión 2015'!H48/$D48</f>
        <v>1</v>
      </c>
      <c r="I48" s="33">
        <f>+'Seguim Proy inversión 2015'!I48/$D48</f>
        <v>1</v>
      </c>
      <c r="J48" s="33">
        <f>+'Seguim Proy inversión 2015'!J48/$D48</f>
        <v>1</v>
      </c>
      <c r="K48" s="33">
        <f>+'Seguim Proy inversión 2015'!K48/$D48</f>
        <v>1</v>
      </c>
      <c r="L48" s="33">
        <f>+'Seguim Proy inversión 2015'!L48/$D48</f>
        <v>1</v>
      </c>
      <c r="M48" s="33">
        <f>+'Seguim Proy inversión 2015'!M48/$D48</f>
        <v>1</v>
      </c>
      <c r="N48" s="33">
        <f>+'Seguim Proy inversión 2015'!N48/$D48</f>
        <v>1</v>
      </c>
      <c r="O48" s="33">
        <f>+'Seguim Proy inversión 2015'!O48/$D48</f>
        <v>1</v>
      </c>
      <c r="P48" s="33">
        <f>+'Seguim Proy inversión 2015'!P48/$D48</f>
        <v>1</v>
      </c>
      <c r="Q48" s="33">
        <f>+'Seguim Proy inversión 2015'!Q48/$D48</f>
        <v>1</v>
      </c>
      <c r="R48" s="33">
        <f>+'Seguim Proy inversión 2015'!R48/$D48</f>
        <v>1</v>
      </c>
      <c r="S48" s="33">
        <v>0.2</v>
      </c>
      <c r="T48" s="178"/>
      <c r="U48" s="205"/>
    </row>
    <row r="49" spans="1:21" ht="12.75" customHeight="1">
      <c r="A49" s="178"/>
      <c r="B49" s="178" t="s">
        <v>166</v>
      </c>
      <c r="C49" s="178"/>
      <c r="D49" s="178"/>
      <c r="E49" s="178"/>
      <c r="F49" s="45">
        <f t="shared" ref="F49:R49" si="0">SUM(F15:F48)/34</f>
        <v>0.19925745282323457</v>
      </c>
      <c r="G49" s="45">
        <f t="shared" si="0"/>
        <v>0.21501000273273266</v>
      </c>
      <c r="H49" s="45">
        <f t="shared" si="0"/>
        <v>0.32743691517441187</v>
      </c>
      <c r="I49" s="45">
        <f t="shared" si="0"/>
        <v>0.34836277051536019</v>
      </c>
      <c r="J49" s="45">
        <f t="shared" si="0"/>
        <v>0.39759762151338685</v>
      </c>
      <c r="K49" s="45">
        <f t="shared" si="0"/>
        <v>0.45299949022960428</v>
      </c>
      <c r="L49" s="45">
        <f t="shared" si="0"/>
        <v>0.46945012702196953</v>
      </c>
      <c r="M49" s="45">
        <f t="shared" si="0"/>
        <v>0.47092786338934983</v>
      </c>
      <c r="N49" s="45">
        <f t="shared" si="0"/>
        <v>0.50595677773596637</v>
      </c>
      <c r="O49" s="45">
        <f t="shared" si="0"/>
        <v>0.52660556836890526</v>
      </c>
      <c r="P49" s="45">
        <f t="shared" si="0"/>
        <v>0.52087540685633282</v>
      </c>
      <c r="Q49" s="45">
        <f t="shared" si="0"/>
        <v>0.53762944294584114</v>
      </c>
      <c r="R49" s="49" t="e">
        <f t="shared" si="0"/>
        <v>#VALUE!</v>
      </c>
      <c r="S49" s="49"/>
      <c r="T49" s="207">
        <f>+SUM(U15:U48)/10</f>
        <v>1.0802082209210853</v>
      </c>
      <c r="U49" s="207"/>
    </row>
    <row r="50" spans="1:21" ht="12.75" customHeight="1">
      <c r="A50" s="178"/>
      <c r="B50" s="178" t="s">
        <v>160</v>
      </c>
      <c r="C50" s="178"/>
      <c r="D50" s="178"/>
      <c r="E50" s="178"/>
      <c r="F50" s="45">
        <f>+F49</f>
        <v>0.19925745282323457</v>
      </c>
      <c r="G50" s="45">
        <f t="shared" ref="G50:M50" si="1">+F49+G49</f>
        <v>0.41426745555596722</v>
      </c>
      <c r="H50" s="45">
        <f t="shared" si="1"/>
        <v>0.5424469179071445</v>
      </c>
      <c r="I50" s="45">
        <f t="shared" si="1"/>
        <v>0.67579968568977211</v>
      </c>
      <c r="J50" s="45">
        <f t="shared" si="1"/>
        <v>0.74596039202874698</v>
      </c>
      <c r="K50" s="45">
        <f t="shared" si="1"/>
        <v>0.85059711174299113</v>
      </c>
      <c r="L50" s="45">
        <f t="shared" si="1"/>
        <v>0.92244961725157382</v>
      </c>
      <c r="M50" s="45">
        <f t="shared" si="1"/>
        <v>0.94037799041131942</v>
      </c>
      <c r="N50" s="45">
        <f>+N49-M49</f>
        <v>3.5028914346616535E-2</v>
      </c>
      <c r="O50" s="45">
        <f>+O49-N49</f>
        <v>2.0648790632938896E-2</v>
      </c>
      <c r="P50" s="45">
        <f>+P49-O49</f>
        <v>-5.7301615125724403E-3</v>
      </c>
      <c r="Q50" s="45">
        <f>+Q49-P49</f>
        <v>1.6754036089508317E-2</v>
      </c>
      <c r="R50" s="45" t="e">
        <f>+R49-Q49</f>
        <v>#VALUE!</v>
      </c>
      <c r="S50" s="45"/>
      <c r="T50" s="207" t="e">
        <f>+R50</f>
        <v>#VALUE!</v>
      </c>
      <c r="U50" s="207"/>
    </row>
    <row r="51" spans="1:21" s="15" customFormat="1" ht="12.75" customHeight="1">
      <c r="A51" s="13"/>
      <c r="B51" s="13"/>
      <c r="C51" s="13"/>
      <c r="D51" s="13"/>
      <c r="E51" s="13"/>
      <c r="F51" s="14">
        <v>0.8</v>
      </c>
      <c r="G51" s="14">
        <v>0.8</v>
      </c>
      <c r="H51" s="14">
        <v>0.8</v>
      </c>
      <c r="I51" s="14">
        <v>0.8</v>
      </c>
      <c r="J51" s="14">
        <v>0.8</v>
      </c>
      <c r="K51" s="14">
        <v>0.8</v>
      </c>
      <c r="L51" s="14">
        <v>0.8</v>
      </c>
      <c r="M51" s="14">
        <v>0.8</v>
      </c>
      <c r="N51" s="14">
        <v>0.8</v>
      </c>
      <c r="O51" s="14">
        <v>0.8</v>
      </c>
      <c r="P51" s="14">
        <v>0.8</v>
      </c>
      <c r="Q51" s="14">
        <v>0.8</v>
      </c>
      <c r="R51" s="14"/>
      <c r="S51" s="14"/>
      <c r="T51" s="14"/>
      <c r="U51" s="34"/>
    </row>
    <row r="52" spans="1:21" ht="30" customHeight="1">
      <c r="A52" s="180"/>
      <c r="B52" s="180"/>
      <c r="C52" s="180"/>
      <c r="D52" s="180"/>
      <c r="E52" s="180"/>
      <c r="F52" s="180"/>
      <c r="G52" s="180"/>
      <c r="H52" s="180"/>
      <c r="I52" s="180"/>
      <c r="J52" s="180"/>
      <c r="K52" s="180"/>
      <c r="L52" s="180"/>
      <c r="M52" s="180"/>
      <c r="N52" s="181"/>
      <c r="O52" s="181"/>
      <c r="P52" s="181"/>
      <c r="Q52" s="181"/>
      <c r="R52" s="181"/>
      <c r="S52" s="181"/>
      <c r="T52" s="181"/>
      <c r="U52" s="181"/>
    </row>
    <row r="53" spans="1:21" ht="36.6" customHeight="1">
      <c r="A53" s="21"/>
      <c r="B53" s="21"/>
      <c r="C53" s="21"/>
      <c r="D53" s="21"/>
      <c r="E53" s="21"/>
      <c r="F53" s="21"/>
      <c r="G53" s="21"/>
      <c r="H53" s="21"/>
      <c r="I53" s="21"/>
      <c r="J53" s="21"/>
      <c r="K53" s="22"/>
      <c r="L53" s="22"/>
      <c r="M53" s="22"/>
      <c r="N53" s="182" t="s">
        <v>161</v>
      </c>
      <c r="O53" s="182"/>
      <c r="P53" s="182"/>
      <c r="Q53" s="182"/>
      <c r="R53" s="182"/>
      <c r="S53" s="182"/>
      <c r="T53" s="182"/>
      <c r="U53" s="182"/>
    </row>
    <row r="54" spans="1:21" ht="36.6" customHeight="1">
      <c r="A54" s="21"/>
      <c r="B54" s="21"/>
      <c r="C54" s="21"/>
      <c r="D54" s="21"/>
      <c r="E54" s="21"/>
      <c r="F54" s="21"/>
      <c r="G54" s="21"/>
      <c r="H54" s="21"/>
      <c r="I54" s="21"/>
      <c r="J54" s="21"/>
      <c r="K54" s="22"/>
      <c r="L54" s="22"/>
      <c r="M54" s="22"/>
      <c r="N54" s="178" t="s">
        <v>26</v>
      </c>
      <c r="O54" s="178"/>
      <c r="P54" s="178"/>
      <c r="Q54" s="178"/>
      <c r="R54" s="178"/>
      <c r="S54" s="178"/>
      <c r="T54" s="178"/>
      <c r="U54" s="178"/>
    </row>
    <row r="55" spans="1:21" ht="36.6" customHeight="1">
      <c r="A55" s="21"/>
      <c r="B55" s="21"/>
      <c r="C55" s="21"/>
      <c r="D55" s="21"/>
      <c r="E55" s="21"/>
      <c r="F55" s="21"/>
      <c r="G55" s="21"/>
      <c r="H55" s="21"/>
      <c r="I55" s="21"/>
      <c r="J55" s="21"/>
      <c r="K55" s="22"/>
      <c r="L55" s="22"/>
      <c r="M55" s="22"/>
      <c r="N55" s="178" t="s">
        <v>27</v>
      </c>
      <c r="O55" s="178"/>
      <c r="P55" s="178"/>
      <c r="Q55" s="178"/>
      <c r="R55" s="178"/>
      <c r="S55" s="178"/>
      <c r="T55" s="178"/>
      <c r="U55" s="178"/>
    </row>
  </sheetData>
  <sheetProtection selectLockedCells="1" selectUnlockedCells="1"/>
  <mergeCells count="54">
    <mergeCell ref="A1:U3"/>
    <mergeCell ref="A4:U6"/>
    <mergeCell ref="A7:U7"/>
    <mergeCell ref="A8:U8"/>
    <mergeCell ref="A9:F9"/>
    <mergeCell ref="G9:L9"/>
    <mergeCell ref="M9:O9"/>
    <mergeCell ref="P9:U9"/>
    <mergeCell ref="A10:F10"/>
    <mergeCell ref="G10:L10"/>
    <mergeCell ref="M10:O10"/>
    <mergeCell ref="P10:U10"/>
    <mergeCell ref="A11:F11"/>
    <mergeCell ref="G11:L11"/>
    <mergeCell ref="M11:O11"/>
    <mergeCell ref="P11:U11"/>
    <mergeCell ref="A13:U13"/>
    <mergeCell ref="A15:A50"/>
    <mergeCell ref="B15:B16"/>
    <mergeCell ref="T15:T16"/>
    <mergeCell ref="U15:U16"/>
    <mergeCell ref="B17:B18"/>
    <mergeCell ref="T17:T18"/>
    <mergeCell ref="U17:U18"/>
    <mergeCell ref="B19:B21"/>
    <mergeCell ref="T19:T21"/>
    <mergeCell ref="U19:U21"/>
    <mergeCell ref="B22:B29"/>
    <mergeCell ref="T22:T29"/>
    <mergeCell ref="U22:U29"/>
    <mergeCell ref="B30:B34"/>
    <mergeCell ref="T30:T34"/>
    <mergeCell ref="U30:U34"/>
    <mergeCell ref="B35:B38"/>
    <mergeCell ref="T35:T38"/>
    <mergeCell ref="U35:U38"/>
    <mergeCell ref="B40:B42"/>
    <mergeCell ref="T40:T42"/>
    <mergeCell ref="U40:U42"/>
    <mergeCell ref="B43:B45"/>
    <mergeCell ref="T43:T45"/>
    <mergeCell ref="U43:U45"/>
    <mergeCell ref="B46:B48"/>
    <mergeCell ref="T46:T48"/>
    <mergeCell ref="U46:U48"/>
    <mergeCell ref="N53:U53"/>
    <mergeCell ref="N54:U54"/>
    <mergeCell ref="N55:U55"/>
    <mergeCell ref="B49:E49"/>
    <mergeCell ref="T49:U49"/>
    <mergeCell ref="B50:E50"/>
    <mergeCell ref="T50:U50"/>
    <mergeCell ref="A52:M52"/>
    <mergeCell ref="N52:U52"/>
  </mergeCells>
  <dataValidations count="2">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opLeftCell="A6" zoomScale="75" zoomScaleNormal="75" workbookViewId="0">
      <selection activeCell="A51" sqref="A51"/>
    </sheetView>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9.85546875" style="1" customWidth="1"/>
    <col min="6" max="10" width="12.42578125" style="1" customWidth="1"/>
    <col min="11" max="14" width="10.7109375" style="1" customWidth="1"/>
    <col min="15" max="16" width="10.28515625" style="1" customWidth="1"/>
    <col min="17" max="17" width="10.7109375" style="1" customWidth="1"/>
    <col min="18" max="18" width="13.140625" style="1" customWidth="1"/>
    <col min="19" max="19" width="10.7109375" style="1" customWidth="1"/>
    <col min="20" max="21" width="12.140625" style="1" customWidth="1"/>
    <col min="22" max="22" width="2.7109375" style="1" customWidth="1"/>
    <col min="23" max="16384" width="11.42578125" style="1"/>
  </cols>
  <sheetData>
    <row r="1" spans="1:256" s="3" customFormat="1" ht="13.9" customHeight="1">
      <c r="A1" s="184" t="s">
        <v>0</v>
      </c>
      <c r="B1" s="184"/>
      <c r="C1" s="184"/>
      <c r="D1" s="184"/>
      <c r="E1" s="184"/>
      <c r="F1" s="184"/>
      <c r="G1" s="184"/>
      <c r="H1" s="184"/>
      <c r="I1" s="184"/>
      <c r="J1" s="184"/>
      <c r="K1" s="184"/>
      <c r="L1" s="184"/>
      <c r="M1" s="184"/>
      <c r="N1" s="184"/>
      <c r="O1" s="184"/>
      <c r="P1" s="184"/>
      <c r="Q1" s="184"/>
      <c r="R1" s="184"/>
      <c r="S1" s="184"/>
      <c r="T1" s="184"/>
      <c r="U1" s="184"/>
    </row>
    <row r="2" spans="1:256" s="3" customFormat="1" ht="13.9" customHeight="1">
      <c r="A2" s="184"/>
      <c r="B2" s="184"/>
      <c r="C2" s="184"/>
      <c r="D2" s="184"/>
      <c r="E2" s="184"/>
      <c r="F2" s="184"/>
      <c r="G2" s="184"/>
      <c r="H2" s="184"/>
      <c r="I2" s="184"/>
      <c r="J2" s="184"/>
      <c r="K2" s="184"/>
      <c r="L2" s="184"/>
      <c r="M2" s="184"/>
      <c r="N2" s="184"/>
      <c r="O2" s="184"/>
      <c r="P2" s="184"/>
      <c r="Q2" s="184"/>
      <c r="R2" s="184"/>
      <c r="S2" s="184"/>
      <c r="T2" s="184"/>
      <c r="U2" s="184"/>
    </row>
    <row r="3" spans="1:256" s="3" customFormat="1" ht="13.9" customHeight="1">
      <c r="A3" s="184"/>
      <c r="B3" s="184"/>
      <c r="C3" s="184"/>
      <c r="D3" s="184"/>
      <c r="E3" s="184"/>
      <c r="F3" s="184"/>
      <c r="G3" s="184"/>
      <c r="H3" s="184"/>
      <c r="I3" s="184"/>
      <c r="J3" s="184"/>
      <c r="K3" s="184"/>
      <c r="L3" s="184"/>
      <c r="M3" s="184"/>
      <c r="N3" s="184"/>
      <c r="O3" s="184"/>
      <c r="P3" s="184"/>
      <c r="Q3" s="184"/>
      <c r="R3" s="184"/>
      <c r="S3" s="184"/>
      <c r="T3" s="184"/>
      <c r="U3" s="184"/>
    </row>
    <row r="4" spans="1:256" s="3" customFormat="1" ht="13.9" customHeight="1">
      <c r="A4" s="184" t="s">
        <v>1</v>
      </c>
      <c r="B4" s="184"/>
      <c r="C4" s="184"/>
      <c r="D4" s="184"/>
      <c r="E4" s="184"/>
      <c r="F4" s="184"/>
      <c r="G4" s="184"/>
      <c r="H4" s="184"/>
      <c r="I4" s="184"/>
      <c r="J4" s="184"/>
      <c r="K4" s="184"/>
      <c r="L4" s="184"/>
      <c r="M4" s="184"/>
      <c r="N4" s="184"/>
      <c r="O4" s="184"/>
      <c r="P4" s="184"/>
      <c r="Q4" s="184"/>
      <c r="R4" s="184"/>
      <c r="S4" s="184"/>
      <c r="T4" s="184"/>
      <c r="U4" s="184"/>
    </row>
    <row r="5" spans="1:256" s="3" customFormat="1" ht="13.9" customHeight="1">
      <c r="A5" s="184"/>
      <c r="B5" s="184"/>
      <c r="C5" s="184"/>
      <c r="D5" s="184"/>
      <c r="E5" s="184"/>
      <c r="F5" s="184"/>
      <c r="G5" s="184"/>
      <c r="H5" s="184"/>
      <c r="I5" s="184"/>
      <c r="J5" s="184"/>
      <c r="K5" s="184"/>
      <c r="L5" s="184"/>
      <c r="M5" s="184"/>
      <c r="N5" s="184"/>
      <c r="O5" s="184"/>
      <c r="P5" s="184"/>
      <c r="Q5" s="184"/>
      <c r="R5" s="184"/>
      <c r="S5" s="184"/>
      <c r="T5" s="184"/>
      <c r="U5" s="184"/>
    </row>
    <row r="6" spans="1:256" s="3" customFormat="1" ht="13.9" customHeight="1">
      <c r="A6" s="184"/>
      <c r="B6" s="184"/>
      <c r="C6" s="184"/>
      <c r="D6" s="184"/>
      <c r="E6" s="184"/>
      <c r="F6" s="184"/>
      <c r="G6" s="184"/>
      <c r="H6" s="184"/>
      <c r="I6" s="184"/>
      <c r="J6" s="184"/>
      <c r="K6" s="184"/>
      <c r="L6" s="184"/>
      <c r="M6" s="184"/>
      <c r="N6" s="184"/>
      <c r="O6" s="184"/>
      <c r="P6" s="184"/>
      <c r="Q6" s="184"/>
      <c r="R6" s="184"/>
      <c r="S6" s="184"/>
      <c r="T6" s="184"/>
      <c r="U6" s="184"/>
    </row>
    <row r="7" spans="1:256" s="3" customFormat="1" ht="12.75" customHeight="1">
      <c r="A7" s="185"/>
      <c r="B7" s="185"/>
      <c r="C7" s="185"/>
      <c r="D7" s="185"/>
      <c r="E7" s="185"/>
      <c r="F7" s="185"/>
      <c r="G7" s="185"/>
      <c r="H7" s="185"/>
      <c r="I7" s="185"/>
      <c r="J7" s="185"/>
      <c r="K7" s="185"/>
      <c r="L7" s="185"/>
      <c r="M7" s="185"/>
      <c r="N7" s="185"/>
      <c r="O7" s="185"/>
      <c r="P7" s="185"/>
      <c r="Q7" s="185"/>
      <c r="R7" s="185"/>
      <c r="S7" s="185"/>
      <c r="T7" s="185"/>
      <c r="U7" s="185"/>
    </row>
    <row r="8" spans="1:256" ht="30" customHeight="1">
      <c r="A8" s="179" t="s">
        <v>2</v>
      </c>
      <c r="B8" s="179"/>
      <c r="C8" s="179"/>
      <c r="D8" s="179"/>
      <c r="E8" s="179"/>
      <c r="F8" s="179"/>
      <c r="G8" s="179"/>
      <c r="H8" s="179"/>
      <c r="I8" s="179"/>
      <c r="J8" s="179"/>
      <c r="K8" s="179"/>
      <c r="L8" s="179"/>
      <c r="M8" s="179"/>
      <c r="N8" s="179"/>
      <c r="O8" s="179"/>
      <c r="P8" s="179"/>
      <c r="Q8" s="179"/>
      <c r="R8" s="179"/>
      <c r="S8" s="179"/>
      <c r="T8" s="179"/>
      <c r="U8" s="179"/>
    </row>
    <row r="9" spans="1:256" ht="42" customHeight="1">
      <c r="A9" s="182" t="s">
        <v>3</v>
      </c>
      <c r="B9" s="182"/>
      <c r="C9" s="182"/>
      <c r="D9" s="182"/>
      <c r="E9" s="182"/>
      <c r="F9" s="182"/>
      <c r="G9" s="183" t="s">
        <v>89</v>
      </c>
      <c r="H9" s="183"/>
      <c r="I9" s="183"/>
      <c r="J9" s="183"/>
      <c r="K9" s="183"/>
      <c r="L9" s="183"/>
      <c r="M9" s="182" t="s">
        <v>5</v>
      </c>
      <c r="N9" s="182"/>
      <c r="O9" s="182"/>
      <c r="P9" s="201" t="s">
        <v>90</v>
      </c>
      <c r="Q9" s="201"/>
      <c r="R9" s="201"/>
      <c r="S9" s="201"/>
      <c r="T9" s="201"/>
      <c r="U9" s="201"/>
    </row>
    <row r="10" spans="1:256" ht="42" customHeight="1">
      <c r="A10" s="182" t="s">
        <v>7</v>
      </c>
      <c r="B10" s="182"/>
      <c r="C10" s="182"/>
      <c r="D10" s="182"/>
      <c r="E10" s="182"/>
      <c r="F10" s="182"/>
      <c r="G10" s="183" t="s">
        <v>8</v>
      </c>
      <c r="H10" s="183"/>
      <c r="I10" s="183"/>
      <c r="J10" s="183"/>
      <c r="K10" s="183"/>
      <c r="L10" s="183"/>
      <c r="M10" s="182" t="s">
        <v>9</v>
      </c>
      <c r="N10" s="182"/>
      <c r="O10" s="182"/>
      <c r="P10" s="201" t="s">
        <v>10</v>
      </c>
      <c r="Q10" s="201"/>
      <c r="R10" s="201"/>
      <c r="S10" s="201"/>
      <c r="T10" s="201"/>
      <c r="U10" s="201"/>
    </row>
    <row r="11" spans="1:256" ht="52.9" customHeight="1">
      <c r="A11" s="182" t="s">
        <v>11</v>
      </c>
      <c r="B11" s="182"/>
      <c r="C11" s="182"/>
      <c r="D11" s="182"/>
      <c r="E11" s="182"/>
      <c r="F11" s="182"/>
      <c r="G11" s="183" t="s">
        <v>91</v>
      </c>
      <c r="H11" s="183"/>
      <c r="I11" s="183"/>
      <c r="J11" s="183"/>
      <c r="K11" s="183"/>
      <c r="L11" s="183"/>
      <c r="M11" s="182" t="s">
        <v>13</v>
      </c>
      <c r="N11" s="182"/>
      <c r="O11" s="182"/>
      <c r="P11" s="201" t="s">
        <v>33</v>
      </c>
      <c r="Q11" s="201"/>
      <c r="R11" s="201"/>
      <c r="S11" s="201"/>
      <c r="T11" s="201"/>
      <c r="U11" s="201"/>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92</v>
      </c>
      <c r="B13" s="179"/>
      <c r="C13" s="179"/>
      <c r="D13" s="179"/>
      <c r="E13" s="179"/>
      <c r="F13" s="179"/>
      <c r="G13" s="179"/>
      <c r="H13" s="179"/>
      <c r="I13" s="179"/>
      <c r="J13" s="179"/>
      <c r="K13" s="179"/>
      <c r="L13" s="179"/>
      <c r="M13" s="179"/>
      <c r="N13" s="179"/>
      <c r="O13" s="179"/>
      <c r="P13" s="179"/>
      <c r="Q13" s="179"/>
      <c r="R13" s="179"/>
      <c r="S13" s="179"/>
      <c r="T13" s="179"/>
      <c r="U13" s="179"/>
    </row>
    <row r="14" spans="1:256" ht="30" customHeight="1">
      <c r="A14" s="4" t="s">
        <v>53</v>
      </c>
      <c r="B14" s="4" t="s">
        <v>93</v>
      </c>
      <c r="C14" s="6" t="s">
        <v>94</v>
      </c>
      <c r="D14" s="6" t="s">
        <v>95</v>
      </c>
      <c r="E14" s="6" t="s">
        <v>96</v>
      </c>
      <c r="F14" s="6" t="s">
        <v>55</v>
      </c>
      <c r="G14" s="4" t="s">
        <v>56</v>
      </c>
      <c r="H14" s="4" t="s">
        <v>57</v>
      </c>
      <c r="I14" s="4" t="s">
        <v>58</v>
      </c>
      <c r="J14" s="4" t="s">
        <v>59</v>
      </c>
      <c r="K14" s="4" t="s">
        <v>60</v>
      </c>
      <c r="L14" s="4" t="s">
        <v>61</v>
      </c>
      <c r="M14" s="4" t="s">
        <v>62</v>
      </c>
      <c r="N14" s="4" t="s">
        <v>63</v>
      </c>
      <c r="O14" s="4" t="s">
        <v>64</v>
      </c>
      <c r="P14" s="4" t="s">
        <v>65</v>
      </c>
      <c r="Q14" s="4" t="s">
        <v>66</v>
      </c>
      <c r="R14" s="4" t="s">
        <v>97</v>
      </c>
      <c r="S14" s="4" t="s">
        <v>93</v>
      </c>
      <c r="T14" s="4" t="s">
        <v>98</v>
      </c>
      <c r="U14" s="4" t="s">
        <v>99</v>
      </c>
    </row>
    <row r="15" spans="1:256" ht="15" customHeight="1">
      <c r="A15" s="178">
        <v>2017</v>
      </c>
      <c r="B15" s="178">
        <v>914</v>
      </c>
      <c r="C15" s="7" t="s">
        <v>100</v>
      </c>
      <c r="D15" s="37">
        <v>92000</v>
      </c>
      <c r="E15" s="38" t="s">
        <v>101</v>
      </c>
      <c r="F15" s="9">
        <v>0</v>
      </c>
      <c r="G15" s="9">
        <v>221</v>
      </c>
      <c r="H15" s="9">
        <v>15463</v>
      </c>
      <c r="I15" s="9">
        <v>17677</v>
      </c>
      <c r="J15" s="9">
        <v>9524</v>
      </c>
      <c r="K15" s="9"/>
      <c r="L15" s="9"/>
      <c r="M15" s="9"/>
      <c r="N15" s="9"/>
      <c r="O15" s="9"/>
      <c r="P15" s="9"/>
      <c r="Q15" s="9"/>
      <c r="R15" s="9">
        <f>SUM(F15:J15)</f>
        <v>42885</v>
      </c>
      <c r="S15" s="178">
        <v>914</v>
      </c>
      <c r="T15" s="33">
        <f t="shared" ref="T15:T21" si="0">+R15/D15</f>
        <v>0.46614130434782608</v>
      </c>
      <c r="U15" s="206">
        <f>+(T15+T16)/2</f>
        <v>0.76432065217391298</v>
      </c>
    </row>
    <row r="16" spans="1:256" ht="28.5" customHeight="1">
      <c r="A16" s="178"/>
      <c r="B16" s="178"/>
      <c r="C16" s="7" t="s">
        <v>102</v>
      </c>
      <c r="D16" s="39">
        <v>80</v>
      </c>
      <c r="E16" s="38" t="s">
        <v>103</v>
      </c>
      <c r="F16" s="44">
        <f>11+1+66</f>
        <v>78</v>
      </c>
      <c r="G16" s="44">
        <f>11+1+66</f>
        <v>78</v>
      </c>
      <c r="H16" s="44">
        <f>11+1+71</f>
        <v>83</v>
      </c>
      <c r="I16" s="44">
        <f>11+1+71</f>
        <v>83</v>
      </c>
      <c r="J16" s="44">
        <f>11+2+1+71</f>
        <v>85</v>
      </c>
      <c r="K16" s="9"/>
      <c r="L16" s="9"/>
      <c r="M16" s="9"/>
      <c r="N16" s="9"/>
      <c r="O16" s="9"/>
      <c r="P16" s="9"/>
      <c r="Q16" s="9"/>
      <c r="R16" s="9">
        <f>MAX(F16,G16,H16,I16,J16,K16,L16,M16,N16,O16,P16,Q16)</f>
        <v>85</v>
      </c>
      <c r="S16" s="178"/>
      <c r="T16" s="33">
        <f t="shared" si="0"/>
        <v>1.0625</v>
      </c>
      <c r="U16" s="206"/>
    </row>
    <row r="17" spans="1:21" ht="30" customHeight="1">
      <c r="A17" s="178"/>
      <c r="B17" s="178">
        <v>915</v>
      </c>
      <c r="C17" s="7" t="s">
        <v>104</v>
      </c>
      <c r="D17" s="37">
        <v>65216</v>
      </c>
      <c r="E17" s="38" t="s">
        <v>105</v>
      </c>
      <c r="F17" s="9">
        <v>0</v>
      </c>
      <c r="G17" s="9">
        <v>39093</v>
      </c>
      <c r="H17" s="9">
        <v>40947</v>
      </c>
      <c r="I17" s="9">
        <v>47122</v>
      </c>
      <c r="J17" s="9">
        <v>48935</v>
      </c>
      <c r="K17" s="9"/>
      <c r="L17" s="9"/>
      <c r="M17" s="9"/>
      <c r="N17" s="9"/>
      <c r="O17" s="9"/>
      <c r="P17" s="9"/>
      <c r="Q17" s="9"/>
      <c r="R17" s="9">
        <f>MAX(F17,G17,H17,I17,J17,K17,L17,M17,N17,O17,P17,Q17)</f>
        <v>48935</v>
      </c>
      <c r="S17" s="178">
        <v>915</v>
      </c>
      <c r="T17" s="33">
        <f t="shared" si="0"/>
        <v>0.75035267419038276</v>
      </c>
      <c r="U17" s="206">
        <f>+T17*0.7+T18*0.3</f>
        <v>0.94063148731788349</v>
      </c>
    </row>
    <row r="18" spans="1:21" ht="30" customHeight="1">
      <c r="A18" s="178"/>
      <c r="B18" s="178"/>
      <c r="C18" s="7" t="s">
        <v>106</v>
      </c>
      <c r="D18" s="39">
        <v>26</v>
      </c>
      <c r="E18" s="38" t="s">
        <v>107</v>
      </c>
      <c r="F18" s="9">
        <v>0</v>
      </c>
      <c r="G18" s="9">
        <v>0</v>
      </c>
      <c r="H18" s="9">
        <v>12</v>
      </c>
      <c r="I18" s="9">
        <v>10</v>
      </c>
      <c r="J18" s="9">
        <v>14</v>
      </c>
      <c r="K18" s="9"/>
      <c r="L18" s="9"/>
      <c r="M18" s="9"/>
      <c r="N18" s="9"/>
      <c r="O18" s="9"/>
      <c r="P18" s="9"/>
      <c r="Q18" s="9"/>
      <c r="R18" s="9">
        <f>+SUM(F18:J18)</f>
        <v>36</v>
      </c>
      <c r="S18" s="178"/>
      <c r="T18" s="33">
        <f t="shared" si="0"/>
        <v>1.3846153846153846</v>
      </c>
      <c r="U18" s="206"/>
    </row>
    <row r="19" spans="1:21" ht="15" customHeight="1">
      <c r="A19" s="178"/>
      <c r="B19" s="178">
        <v>772</v>
      </c>
      <c r="C19" s="7" t="s">
        <v>108</v>
      </c>
      <c r="D19" s="39">
        <v>6</v>
      </c>
      <c r="E19" s="38" t="s">
        <v>109</v>
      </c>
      <c r="F19" s="9">
        <v>2</v>
      </c>
      <c r="G19" s="9">
        <v>0</v>
      </c>
      <c r="H19" s="9">
        <v>0</v>
      </c>
      <c r="I19" s="9">
        <v>1</v>
      </c>
      <c r="J19" s="9">
        <v>0</v>
      </c>
      <c r="K19" s="9"/>
      <c r="L19" s="9"/>
      <c r="M19" s="9"/>
      <c r="N19" s="9"/>
      <c r="O19" s="9"/>
      <c r="P19" s="9"/>
      <c r="Q19" s="9"/>
      <c r="R19" s="9">
        <f t="shared" ref="R19:R25" si="1">SUM(F19:J19)</f>
        <v>3</v>
      </c>
      <c r="S19" s="178">
        <v>772</v>
      </c>
      <c r="T19" s="33">
        <f t="shared" si="0"/>
        <v>0.5</v>
      </c>
      <c r="U19" s="206">
        <f>+(T19+T20+T21)/3</f>
        <v>0.5</v>
      </c>
    </row>
    <row r="20" spans="1:21" ht="15" customHeight="1">
      <c r="A20" s="178"/>
      <c r="B20" s="178"/>
      <c r="C20" s="7" t="s">
        <v>110</v>
      </c>
      <c r="D20" s="39">
        <v>5</v>
      </c>
      <c r="E20" s="38" t="s">
        <v>111</v>
      </c>
      <c r="F20" s="9">
        <v>0</v>
      </c>
      <c r="G20" s="9">
        <v>0</v>
      </c>
      <c r="H20" s="9">
        <v>3</v>
      </c>
      <c r="I20" s="9">
        <v>2</v>
      </c>
      <c r="J20" s="9">
        <v>0</v>
      </c>
      <c r="K20" s="9"/>
      <c r="L20" s="9"/>
      <c r="M20" s="9"/>
      <c r="N20" s="9"/>
      <c r="O20" s="9"/>
      <c r="P20" s="9"/>
      <c r="Q20" s="9"/>
      <c r="R20" s="9">
        <f t="shared" si="1"/>
        <v>5</v>
      </c>
      <c r="S20" s="178"/>
      <c r="T20" s="33">
        <f t="shared" si="0"/>
        <v>1</v>
      </c>
      <c r="U20" s="206"/>
    </row>
    <row r="21" spans="1:21" ht="15" customHeight="1">
      <c r="A21" s="178"/>
      <c r="B21" s="178"/>
      <c r="C21" s="7" t="s">
        <v>110</v>
      </c>
      <c r="D21" s="39">
        <v>2</v>
      </c>
      <c r="E21" s="38" t="s">
        <v>112</v>
      </c>
      <c r="F21" s="9">
        <v>0</v>
      </c>
      <c r="G21" s="9">
        <v>0</v>
      </c>
      <c r="H21" s="9">
        <v>0</v>
      </c>
      <c r="I21" s="9">
        <v>0</v>
      </c>
      <c r="J21" s="9">
        <v>0</v>
      </c>
      <c r="K21" s="9"/>
      <c r="L21" s="9"/>
      <c r="M21" s="9"/>
      <c r="N21" s="9"/>
      <c r="O21" s="9"/>
      <c r="P21" s="9"/>
      <c r="Q21" s="9"/>
      <c r="R21" s="9">
        <f t="shared" si="1"/>
        <v>0</v>
      </c>
      <c r="S21" s="178"/>
      <c r="T21" s="33">
        <f t="shared" si="0"/>
        <v>0</v>
      </c>
      <c r="U21" s="206"/>
    </row>
    <row r="22" spans="1:21" ht="15" customHeight="1">
      <c r="A22" s="178"/>
      <c r="B22" s="178">
        <v>795</v>
      </c>
      <c r="C22" s="7" t="s">
        <v>113</v>
      </c>
      <c r="D22" s="39">
        <v>1140000</v>
      </c>
      <c r="E22" s="38" t="s">
        <v>114</v>
      </c>
      <c r="F22" s="9">
        <v>12088</v>
      </c>
      <c r="G22" s="9">
        <v>5317</v>
      </c>
      <c r="H22" s="9">
        <v>216500</v>
      </c>
      <c r="I22" s="9">
        <v>29071</v>
      </c>
      <c r="J22" s="9">
        <v>14811</v>
      </c>
      <c r="K22" s="9"/>
      <c r="L22" s="9"/>
      <c r="M22" s="9"/>
      <c r="N22" s="9"/>
      <c r="O22" s="9"/>
      <c r="P22" s="9"/>
      <c r="Q22" s="9"/>
      <c r="R22" s="9">
        <f t="shared" si="1"/>
        <v>277787</v>
      </c>
      <c r="S22" s="178">
        <v>795</v>
      </c>
      <c r="T22" s="33">
        <f>+(1051971+1048011+1680645+1738401+R22)/(D22*4)</f>
        <v>1.2712313596491227</v>
      </c>
      <c r="U22" s="206">
        <f>+(T22+T23+T24+T25+T26+T27+T29)/7</f>
        <v>1.077612858411837</v>
      </c>
    </row>
    <row r="23" spans="1:21" ht="12.75" customHeight="1">
      <c r="A23" s="178"/>
      <c r="B23" s="178"/>
      <c r="C23" s="7" t="s">
        <v>115</v>
      </c>
      <c r="D23" s="39">
        <v>260000</v>
      </c>
      <c r="E23" s="38" t="s">
        <v>116</v>
      </c>
      <c r="F23" s="9">
        <v>0</v>
      </c>
      <c r="G23" s="9">
        <v>0</v>
      </c>
      <c r="H23" s="9">
        <v>2779</v>
      </c>
      <c r="I23" s="9">
        <v>0</v>
      </c>
      <c r="J23" s="9">
        <v>13385</v>
      </c>
      <c r="K23" s="9"/>
      <c r="L23" s="9"/>
      <c r="M23" s="9"/>
      <c r="N23" s="9"/>
      <c r="O23" s="9"/>
      <c r="P23" s="9"/>
      <c r="Q23" s="9"/>
      <c r="R23" s="9">
        <f t="shared" si="1"/>
        <v>16164</v>
      </c>
      <c r="S23" s="178"/>
      <c r="T23" s="33">
        <f>+(258674+278530+448820+133390+R23)/(D23*4)</f>
        <v>1.0919019230769231</v>
      </c>
      <c r="U23" s="206"/>
    </row>
    <row r="24" spans="1:21" ht="12.75" customHeight="1">
      <c r="A24" s="178"/>
      <c r="B24" s="178"/>
      <c r="C24" s="7" t="s">
        <v>117</v>
      </c>
      <c r="D24" s="39">
        <v>10000</v>
      </c>
      <c r="E24" s="38" t="s">
        <v>118</v>
      </c>
      <c r="F24" s="9">
        <v>560</v>
      </c>
      <c r="G24" s="9">
        <v>175</v>
      </c>
      <c r="H24" s="9">
        <v>498</v>
      </c>
      <c r="I24" s="9">
        <v>653</v>
      </c>
      <c r="J24" s="9">
        <v>308</v>
      </c>
      <c r="K24" s="9"/>
      <c r="L24" s="9"/>
      <c r="M24" s="9"/>
      <c r="N24" s="9"/>
      <c r="O24" s="9"/>
      <c r="P24" s="9"/>
      <c r="Q24" s="9"/>
      <c r="R24" s="9">
        <f t="shared" si="1"/>
        <v>2194</v>
      </c>
      <c r="S24" s="178"/>
      <c r="T24" s="33">
        <f>+(9686+9658+14148+18248+R24)/(D24*4)</f>
        <v>1.3483499999999999</v>
      </c>
      <c r="U24" s="206"/>
    </row>
    <row r="25" spans="1:21" ht="12.75" customHeight="1">
      <c r="A25" s="178"/>
      <c r="B25" s="178"/>
      <c r="C25" s="7" t="s">
        <v>110</v>
      </c>
      <c r="D25" s="37">
        <v>20</v>
      </c>
      <c r="E25" s="38" t="s">
        <v>119</v>
      </c>
      <c r="F25" s="9">
        <v>0</v>
      </c>
      <c r="G25" s="9">
        <v>0</v>
      </c>
      <c r="H25" s="9">
        <v>10</v>
      </c>
      <c r="I25" s="9">
        <v>33</v>
      </c>
      <c r="J25" s="9">
        <v>123</v>
      </c>
      <c r="K25" s="9"/>
      <c r="L25" s="9"/>
      <c r="M25" s="9"/>
      <c r="N25" s="9"/>
      <c r="O25" s="9"/>
      <c r="P25" s="9"/>
      <c r="Q25" s="9"/>
      <c r="R25" s="44">
        <f t="shared" si="1"/>
        <v>166</v>
      </c>
      <c r="S25" s="178"/>
      <c r="T25" s="33">
        <f>2583/2486</f>
        <v>1.0390185036202735</v>
      </c>
      <c r="U25" s="206"/>
    </row>
    <row r="26" spans="1:21" ht="12.75" customHeight="1">
      <c r="A26" s="178"/>
      <c r="B26" s="178"/>
      <c r="C26" s="7" t="s">
        <v>120</v>
      </c>
      <c r="D26" s="40">
        <v>0.2</v>
      </c>
      <c r="E26" s="38" t="s">
        <v>121</v>
      </c>
      <c r="F26" s="9">
        <v>0</v>
      </c>
      <c r="G26" s="9">
        <v>0</v>
      </c>
      <c r="H26" s="9">
        <v>0</v>
      </c>
      <c r="I26" s="9">
        <v>0</v>
      </c>
      <c r="J26" s="47">
        <v>0.06</v>
      </c>
      <c r="K26" s="9"/>
      <c r="L26" s="9"/>
      <c r="M26" s="9"/>
      <c r="N26" s="9"/>
      <c r="O26" s="9"/>
      <c r="P26" s="9"/>
      <c r="Q26" s="9"/>
      <c r="R26" s="33">
        <f>MAX(F26,G26,H26,I26,J26,K26,L26,M26,N26,O26,P26,Q26)</f>
        <v>0.06</v>
      </c>
      <c r="S26" s="178"/>
      <c r="T26" s="33">
        <f>+(((1.2785)*(1.2)*(1+R26)-1)/3)/D26</f>
        <v>1.0437533333333333</v>
      </c>
      <c r="U26" s="206"/>
    </row>
    <row r="27" spans="1:21" ht="12.75" customHeight="1">
      <c r="A27" s="178"/>
      <c r="B27" s="178"/>
      <c r="C27" s="42" t="s">
        <v>122</v>
      </c>
      <c r="D27" s="37">
        <v>20930</v>
      </c>
      <c r="E27" s="38" t="s">
        <v>116</v>
      </c>
      <c r="F27" s="9">
        <v>3393</v>
      </c>
      <c r="G27" s="9">
        <v>2869</v>
      </c>
      <c r="H27" s="9">
        <v>4109</v>
      </c>
      <c r="I27" s="9">
        <v>17065</v>
      </c>
      <c r="J27" s="9">
        <v>4023</v>
      </c>
      <c r="K27" s="9"/>
      <c r="L27" s="9"/>
      <c r="M27" s="9"/>
      <c r="N27" s="9"/>
      <c r="O27" s="9"/>
      <c r="P27" s="9"/>
      <c r="Q27" s="9"/>
      <c r="R27" s="9">
        <f>SUM(F27:J27)</f>
        <v>31459</v>
      </c>
      <c r="S27" s="178"/>
      <c r="T27" s="33">
        <f>+(45548+65050+71165+100307+R27)/303000</f>
        <v>1.0347491749174917</v>
      </c>
      <c r="U27" s="206"/>
    </row>
    <row r="28" spans="1:21" ht="12.75" customHeight="1">
      <c r="A28" s="178"/>
      <c r="B28" s="178"/>
      <c r="C28" s="42" t="s">
        <v>123</v>
      </c>
      <c r="D28" s="39">
        <v>0</v>
      </c>
      <c r="E28" s="38" t="s">
        <v>124</v>
      </c>
      <c r="F28" s="44">
        <v>0</v>
      </c>
      <c r="G28" s="44">
        <v>0</v>
      </c>
      <c r="H28" s="44">
        <v>0</v>
      </c>
      <c r="I28" s="44">
        <v>0</v>
      </c>
      <c r="J28" s="44">
        <v>0</v>
      </c>
      <c r="K28" s="9"/>
      <c r="L28" s="9"/>
      <c r="M28" s="9"/>
      <c r="N28" s="9"/>
      <c r="O28" s="9"/>
      <c r="P28" s="9"/>
      <c r="Q28" s="9"/>
      <c r="R28" s="9">
        <f>MAX(F28,G28,H28,I28,J28,K28,L28,M28,N28,O28,P28,Q28)</f>
        <v>0</v>
      </c>
      <c r="S28" s="178"/>
      <c r="T28" s="33" t="s">
        <v>167</v>
      </c>
      <c r="U28" s="206"/>
    </row>
    <row r="29" spans="1:21" ht="12.75" customHeight="1">
      <c r="A29" s="178"/>
      <c r="B29" s="178"/>
      <c r="C29" s="42" t="s">
        <v>125</v>
      </c>
      <c r="D29" s="39">
        <v>7</v>
      </c>
      <c r="E29" s="38" t="s">
        <v>126</v>
      </c>
      <c r="F29" s="44">
        <v>0</v>
      </c>
      <c r="G29" s="44">
        <v>0</v>
      </c>
      <c r="H29" s="44">
        <v>0</v>
      </c>
      <c r="I29" s="44">
        <v>0</v>
      </c>
      <c r="J29" s="44">
        <v>0</v>
      </c>
      <c r="K29" s="9"/>
      <c r="L29" s="9"/>
      <c r="M29" s="9"/>
      <c r="N29" s="9"/>
      <c r="O29" s="9"/>
      <c r="P29" s="9"/>
      <c r="Q29" s="9"/>
      <c r="R29" s="9">
        <f>MAX(F29,G29,H29,I29,J29,K29,L29,M29,N29,O29,P29,Q29)</f>
        <v>0</v>
      </c>
      <c r="S29" s="178"/>
      <c r="T29" s="33">
        <f>5/7</f>
        <v>0.7142857142857143</v>
      </c>
      <c r="U29" s="206"/>
    </row>
    <row r="30" spans="1:21" ht="12.75" customHeight="1">
      <c r="A30" s="178"/>
      <c r="B30" s="178">
        <v>783</v>
      </c>
      <c r="C30" s="42" t="s">
        <v>127</v>
      </c>
      <c r="D30" s="37">
        <v>2</v>
      </c>
      <c r="E30" s="38" t="s">
        <v>128</v>
      </c>
      <c r="F30" s="9">
        <v>2</v>
      </c>
      <c r="G30" s="9">
        <v>2</v>
      </c>
      <c r="H30" s="9">
        <v>2</v>
      </c>
      <c r="I30" s="9">
        <v>2</v>
      </c>
      <c r="J30" s="9">
        <v>2</v>
      </c>
      <c r="K30" s="9"/>
      <c r="L30" s="9"/>
      <c r="M30" s="9"/>
      <c r="N30" s="9"/>
      <c r="O30" s="9"/>
      <c r="P30" s="9"/>
      <c r="Q30" s="9"/>
      <c r="R30" s="9">
        <f>MAX(F30,G30,H30,I30,J30,K30,L30,M30,N30,O30,P30,Q30)</f>
        <v>2</v>
      </c>
      <c r="S30" s="178">
        <v>783</v>
      </c>
      <c r="T30" s="33">
        <f>+R30/D30</f>
        <v>1</v>
      </c>
      <c r="U30" s="206">
        <f>+(T30+T31+T32+T33+T34)/5</f>
        <v>1.1783915748640137</v>
      </c>
    </row>
    <row r="31" spans="1:21" ht="12.75" customHeight="1">
      <c r="A31" s="178"/>
      <c r="B31" s="178"/>
      <c r="C31" s="7" t="s">
        <v>129</v>
      </c>
      <c r="D31" s="50">
        <v>0.499</v>
      </c>
      <c r="E31" s="38" t="s">
        <v>130</v>
      </c>
      <c r="F31" s="9">
        <v>0</v>
      </c>
      <c r="G31" s="9">
        <v>0</v>
      </c>
      <c r="H31" s="9">
        <v>0</v>
      </c>
      <c r="I31" s="9">
        <v>0</v>
      </c>
      <c r="J31" s="47">
        <v>0.41560000000000002</v>
      </c>
      <c r="K31" s="9"/>
      <c r="L31" s="33"/>
      <c r="M31" s="9"/>
      <c r="N31" s="9"/>
      <c r="O31" s="9"/>
      <c r="P31" s="9"/>
      <c r="Q31" s="9"/>
      <c r="R31" s="33">
        <f>MAX(F31,G31,H31,I31,J31,K31,L31,M31,N31,O31,P31,Q31)</f>
        <v>0.41560000000000002</v>
      </c>
      <c r="S31" s="178"/>
      <c r="T31" s="33">
        <f>+R31/D31</f>
        <v>0.83286573146292586</v>
      </c>
      <c r="U31" s="206"/>
    </row>
    <row r="32" spans="1:21" ht="47.25" customHeight="1">
      <c r="A32" s="178"/>
      <c r="B32" s="178"/>
      <c r="C32" s="42" t="s">
        <v>131</v>
      </c>
      <c r="D32" s="37">
        <v>300000</v>
      </c>
      <c r="E32" s="38" t="s">
        <v>116</v>
      </c>
      <c r="F32" s="9">
        <v>32506</v>
      </c>
      <c r="G32" s="9">
        <v>16161</v>
      </c>
      <c r="H32" s="9">
        <v>39015</v>
      </c>
      <c r="I32" s="9">
        <v>23974</v>
      </c>
      <c r="J32" s="9">
        <v>31864</v>
      </c>
      <c r="K32" s="9"/>
      <c r="L32" s="9"/>
      <c r="M32" s="9"/>
      <c r="N32" s="9"/>
      <c r="O32" s="9"/>
      <c r="P32" s="9"/>
      <c r="Q32" s="9"/>
      <c r="R32" s="9">
        <f>SUM(F32:J32)</f>
        <v>143520</v>
      </c>
      <c r="S32" s="178"/>
      <c r="T32" s="33">
        <f>+R32/D32*12/5</f>
        <v>1.1481600000000001</v>
      </c>
      <c r="U32" s="206"/>
    </row>
    <row r="33" spans="1:21" ht="12.75" customHeight="1">
      <c r="A33" s="178"/>
      <c r="B33" s="178"/>
      <c r="C33" s="42" t="s">
        <v>165</v>
      </c>
      <c r="D33" s="37">
        <v>280000</v>
      </c>
      <c r="E33" s="38" t="s">
        <v>116</v>
      </c>
      <c r="F33" s="9">
        <v>2326</v>
      </c>
      <c r="G33" s="9">
        <v>6542</v>
      </c>
      <c r="H33" s="9">
        <v>43776</v>
      </c>
      <c r="I33" s="9">
        <v>42504</v>
      </c>
      <c r="J33" s="9">
        <v>33937</v>
      </c>
      <c r="K33" s="9"/>
      <c r="L33" s="9"/>
      <c r="M33" s="9"/>
      <c r="N33" s="9"/>
      <c r="O33" s="9"/>
      <c r="P33" s="9"/>
      <c r="Q33" s="9"/>
      <c r="R33" s="9">
        <f>SUM(F33:J33)</f>
        <v>129085</v>
      </c>
      <c r="S33" s="178"/>
      <c r="T33" s="33">
        <f>+(277543+489625+437144+490223+R33)/(D33*4)</f>
        <v>1.6282321428571429</v>
      </c>
      <c r="U33" s="206"/>
    </row>
    <row r="34" spans="1:21" ht="12.75" customHeight="1">
      <c r="A34" s="178"/>
      <c r="B34" s="178"/>
      <c r="C34" s="7" t="s">
        <v>117</v>
      </c>
      <c r="D34" s="37">
        <v>2500</v>
      </c>
      <c r="E34" s="38" t="s">
        <v>133</v>
      </c>
      <c r="F34" s="9">
        <v>241</v>
      </c>
      <c r="G34" s="9">
        <v>394</v>
      </c>
      <c r="H34" s="9">
        <v>521</v>
      </c>
      <c r="I34" s="9">
        <v>564</v>
      </c>
      <c r="J34" s="9">
        <v>1051</v>
      </c>
      <c r="K34" s="9"/>
      <c r="L34" s="9"/>
      <c r="M34" s="9"/>
      <c r="N34" s="9"/>
      <c r="O34" s="9"/>
      <c r="P34" s="9"/>
      <c r="Q34" s="9"/>
      <c r="R34" s="9">
        <f>SUM(F34:J34)</f>
        <v>2771</v>
      </c>
      <c r="S34" s="178"/>
      <c r="T34" s="33">
        <f>+(688+2846+3751+R34+R34)/(D34*4)</f>
        <v>1.2827</v>
      </c>
      <c r="U34" s="206"/>
    </row>
    <row r="35" spans="1:21" ht="12.75" customHeight="1">
      <c r="A35" s="178"/>
      <c r="B35" s="178">
        <v>792</v>
      </c>
      <c r="C35" s="7" t="s">
        <v>134</v>
      </c>
      <c r="D35" s="39">
        <v>8</v>
      </c>
      <c r="E35" s="38" t="s">
        <v>135</v>
      </c>
      <c r="F35" s="9">
        <v>8</v>
      </c>
      <c r="G35" s="9">
        <v>8</v>
      </c>
      <c r="H35" s="9">
        <v>8</v>
      </c>
      <c r="I35" s="9">
        <v>8</v>
      </c>
      <c r="J35" s="9">
        <v>8</v>
      </c>
      <c r="K35" s="9"/>
      <c r="L35" s="9"/>
      <c r="M35" s="9"/>
      <c r="N35" s="9"/>
      <c r="O35" s="9"/>
      <c r="P35" s="9"/>
      <c r="Q35" s="9"/>
      <c r="R35" s="9">
        <f>MAX(F35,G35,H35,I35,J35,K35,L35,M35,N35,O35,P35,Q35)</f>
        <v>8</v>
      </c>
      <c r="S35" s="178">
        <v>792</v>
      </c>
      <c r="T35" s="33">
        <f>+R35/D35</f>
        <v>1</v>
      </c>
      <c r="U35" s="206">
        <f>+(T35+T36+T37+T38)/4</f>
        <v>0.68499999999999994</v>
      </c>
    </row>
    <row r="36" spans="1:21" ht="12.75" customHeight="1">
      <c r="A36" s="178"/>
      <c r="B36" s="178"/>
      <c r="C36" s="7" t="s">
        <v>134</v>
      </c>
      <c r="D36" s="39">
        <v>2</v>
      </c>
      <c r="E36" s="38" t="s">
        <v>136</v>
      </c>
      <c r="F36" s="9">
        <v>2</v>
      </c>
      <c r="G36" s="9">
        <v>2</v>
      </c>
      <c r="H36" s="9">
        <v>2</v>
      </c>
      <c r="I36" s="9">
        <v>2</v>
      </c>
      <c r="J36" s="9">
        <v>2</v>
      </c>
      <c r="K36" s="9"/>
      <c r="L36" s="9"/>
      <c r="M36" s="9"/>
      <c r="N36" s="9"/>
      <c r="O36" s="9"/>
      <c r="P36" s="9"/>
      <c r="Q36" s="9"/>
      <c r="R36" s="9">
        <f>MAX(F36,G36,H36,I36,J36,K36,L36,M36,N36,O36,P36,Q36)</f>
        <v>2</v>
      </c>
      <c r="S36" s="178"/>
      <c r="T36" s="33">
        <f>+R36/D36</f>
        <v>1</v>
      </c>
      <c r="U36" s="206"/>
    </row>
    <row r="37" spans="1:21" ht="12.75" customHeight="1">
      <c r="A37" s="178"/>
      <c r="B37" s="178"/>
      <c r="C37" s="7" t="s">
        <v>137</v>
      </c>
      <c r="D37" s="43">
        <v>1</v>
      </c>
      <c r="E37" s="38" t="s">
        <v>138</v>
      </c>
      <c r="F37" s="9"/>
      <c r="G37" s="9"/>
      <c r="H37" s="9"/>
      <c r="I37" s="9"/>
      <c r="J37" s="33">
        <v>0.34</v>
      </c>
      <c r="K37" s="9"/>
      <c r="L37" s="9"/>
      <c r="M37" s="9"/>
      <c r="N37" s="9"/>
      <c r="O37" s="9"/>
      <c r="P37" s="9"/>
      <c r="Q37" s="9"/>
      <c r="R37" s="33">
        <f>MAX(F37,G37,H37,I37,J37,K37,L37,M37,N37,O37,P37,Q37)</f>
        <v>0.34</v>
      </c>
      <c r="S37" s="178"/>
      <c r="T37" s="33">
        <f>+R37/D37</f>
        <v>0.34</v>
      </c>
      <c r="U37" s="206"/>
    </row>
    <row r="38" spans="1:21" ht="12.75" customHeight="1">
      <c r="A38" s="178"/>
      <c r="B38" s="178"/>
      <c r="C38" s="42" t="s">
        <v>139</v>
      </c>
      <c r="D38" s="39">
        <v>1</v>
      </c>
      <c r="E38" s="38" t="s">
        <v>140</v>
      </c>
      <c r="F38" s="9"/>
      <c r="G38" s="9"/>
      <c r="H38" s="9"/>
      <c r="I38" s="9"/>
      <c r="J38" s="33">
        <v>0.4</v>
      </c>
      <c r="K38" s="9"/>
      <c r="L38" s="9"/>
      <c r="M38" s="9"/>
      <c r="N38" s="9"/>
      <c r="O38" s="9"/>
      <c r="P38" s="9"/>
      <c r="Q38" s="9"/>
      <c r="R38" s="33">
        <f>MAX(F38,G38,H38,I38,J38,K38,L38,M38,N38,O38,P38,Q38)</f>
        <v>0.4</v>
      </c>
      <c r="S38" s="178"/>
      <c r="T38" s="33">
        <f>+R38/D38</f>
        <v>0.4</v>
      </c>
      <c r="U38" s="206"/>
    </row>
    <row r="39" spans="1:21" ht="12.75" customHeight="1">
      <c r="A39" s="178"/>
      <c r="B39" s="7">
        <v>787</v>
      </c>
      <c r="C39" s="7" t="s">
        <v>141</v>
      </c>
      <c r="D39" s="39">
        <v>1</v>
      </c>
      <c r="E39" s="38" t="s">
        <v>142</v>
      </c>
      <c r="F39" s="9"/>
      <c r="G39" s="9"/>
      <c r="H39" s="9"/>
      <c r="I39" s="9"/>
      <c r="J39" s="9">
        <v>0</v>
      </c>
      <c r="K39" s="9"/>
      <c r="L39" s="9"/>
      <c r="M39" s="9"/>
      <c r="N39" s="9"/>
      <c r="O39" s="9"/>
      <c r="P39" s="9"/>
      <c r="Q39" s="9"/>
      <c r="R39" s="9">
        <v>0</v>
      </c>
      <c r="S39" s="7">
        <v>787</v>
      </c>
      <c r="T39" s="33">
        <f>5/6</f>
        <v>0.83333333333333337</v>
      </c>
      <c r="U39" s="33">
        <f>+T39</f>
        <v>0.83333333333333337</v>
      </c>
    </row>
    <row r="40" spans="1:21" ht="12.75" customHeight="1">
      <c r="A40" s="178"/>
      <c r="B40" s="178">
        <v>944</v>
      </c>
      <c r="C40" s="7" t="s">
        <v>143</v>
      </c>
      <c r="D40" s="39">
        <v>6</v>
      </c>
      <c r="E40" s="38" t="s">
        <v>144</v>
      </c>
      <c r="F40" s="9">
        <v>0</v>
      </c>
      <c r="G40" s="9">
        <v>0</v>
      </c>
      <c r="H40" s="9">
        <v>0</v>
      </c>
      <c r="I40" s="9">
        <v>3</v>
      </c>
      <c r="J40" s="9">
        <v>3</v>
      </c>
      <c r="K40" s="9"/>
      <c r="L40" s="9"/>
      <c r="M40" s="9"/>
      <c r="N40" s="9"/>
      <c r="O40" s="9"/>
      <c r="P40" s="9"/>
      <c r="Q40" s="9"/>
      <c r="R40" s="9">
        <f>SUM(F40:J40)</f>
        <v>6</v>
      </c>
      <c r="S40" s="178">
        <v>944</v>
      </c>
      <c r="T40" s="33">
        <f t="shared" ref="T40:T45" si="2">+R40/D40</f>
        <v>1</v>
      </c>
      <c r="U40" s="206">
        <f>+T40</f>
        <v>1</v>
      </c>
    </row>
    <row r="41" spans="1:21" ht="12.75" customHeight="1">
      <c r="A41" s="178"/>
      <c r="B41" s="178"/>
      <c r="C41" s="7" t="s">
        <v>145</v>
      </c>
      <c r="D41" s="37">
        <v>1200</v>
      </c>
      <c r="E41" s="38" t="s">
        <v>116</v>
      </c>
      <c r="F41" s="44"/>
      <c r="G41" s="44"/>
      <c r="H41" s="44"/>
      <c r="I41" s="44"/>
      <c r="J41" s="44"/>
      <c r="K41" s="9"/>
      <c r="L41" s="9"/>
      <c r="M41" s="9"/>
      <c r="N41" s="9"/>
      <c r="O41" s="9"/>
      <c r="P41" s="9"/>
      <c r="Q41" s="9"/>
      <c r="R41" s="9">
        <f t="shared" ref="R41:R46" si="3">MAX(F41,G41,H41,I41,J41,K41,L41,M41,N41,O41,P41,Q41)</f>
        <v>0</v>
      </c>
      <c r="S41" s="178"/>
      <c r="T41" s="33">
        <f t="shared" si="2"/>
        <v>0</v>
      </c>
      <c r="U41" s="206"/>
    </row>
    <row r="42" spans="1:21" ht="12.75" customHeight="1">
      <c r="A42" s="178"/>
      <c r="B42" s="178"/>
      <c r="C42" s="7" t="s">
        <v>147</v>
      </c>
      <c r="D42" s="39">
        <v>1</v>
      </c>
      <c r="E42" s="38" t="s">
        <v>148</v>
      </c>
      <c r="F42" s="9"/>
      <c r="G42" s="9"/>
      <c r="H42" s="9"/>
      <c r="I42" s="9"/>
      <c r="J42" s="9"/>
      <c r="K42" s="9"/>
      <c r="L42" s="9"/>
      <c r="M42" s="9"/>
      <c r="N42" s="9"/>
      <c r="O42" s="9"/>
      <c r="P42" s="9"/>
      <c r="Q42" s="9"/>
      <c r="R42" s="9">
        <f t="shared" si="3"/>
        <v>0</v>
      </c>
      <c r="S42" s="178"/>
      <c r="T42" s="33">
        <f t="shared" si="2"/>
        <v>0</v>
      </c>
      <c r="U42" s="206"/>
    </row>
    <row r="43" spans="1:21" ht="12.75" customHeight="1">
      <c r="A43" s="178"/>
      <c r="B43" s="178">
        <v>784</v>
      </c>
      <c r="C43" s="7" t="s">
        <v>149</v>
      </c>
      <c r="D43" s="39">
        <v>1</v>
      </c>
      <c r="E43" s="38" t="s">
        <v>150</v>
      </c>
      <c r="F43" s="9">
        <v>1</v>
      </c>
      <c r="G43" s="9">
        <v>1</v>
      </c>
      <c r="H43" s="9">
        <v>1</v>
      </c>
      <c r="I43" s="9">
        <v>1</v>
      </c>
      <c r="J43" s="9">
        <v>1</v>
      </c>
      <c r="K43" s="9"/>
      <c r="L43" s="9"/>
      <c r="M43" s="9"/>
      <c r="N43" s="9"/>
      <c r="O43" s="9"/>
      <c r="P43" s="9"/>
      <c r="Q43" s="9"/>
      <c r="R43" s="9">
        <f t="shared" si="3"/>
        <v>1</v>
      </c>
      <c r="S43" s="178">
        <v>784</v>
      </c>
      <c r="T43" s="33">
        <f t="shared" si="2"/>
        <v>1</v>
      </c>
      <c r="U43" s="206">
        <f>+(T43+T44+T45)/3</f>
        <v>0.93666666666666665</v>
      </c>
    </row>
    <row r="44" spans="1:21" ht="12.75" customHeight="1">
      <c r="A44" s="178"/>
      <c r="B44" s="178"/>
      <c r="C44" s="7" t="s">
        <v>151</v>
      </c>
      <c r="D44" s="37">
        <v>2</v>
      </c>
      <c r="E44" s="38" t="s">
        <v>152</v>
      </c>
      <c r="F44" s="9">
        <v>2</v>
      </c>
      <c r="G44" s="9">
        <v>2</v>
      </c>
      <c r="H44" s="9">
        <v>2</v>
      </c>
      <c r="I44" s="9">
        <v>2</v>
      </c>
      <c r="J44" s="9">
        <v>2</v>
      </c>
      <c r="K44" s="9"/>
      <c r="L44" s="9"/>
      <c r="M44" s="9"/>
      <c r="N44" s="9"/>
      <c r="O44" s="9"/>
      <c r="P44" s="9"/>
      <c r="Q44" s="9"/>
      <c r="R44" s="9">
        <f t="shared" si="3"/>
        <v>2</v>
      </c>
      <c r="S44" s="178"/>
      <c r="T44" s="33">
        <f t="shared" si="2"/>
        <v>1</v>
      </c>
      <c r="U44" s="206"/>
    </row>
    <row r="45" spans="1:21" ht="12.75" customHeight="1">
      <c r="A45" s="178"/>
      <c r="B45" s="178"/>
      <c r="C45" s="7" t="s">
        <v>153</v>
      </c>
      <c r="D45" s="43">
        <v>1</v>
      </c>
      <c r="E45" s="38" t="s">
        <v>154</v>
      </c>
      <c r="F45" s="9">
        <v>0</v>
      </c>
      <c r="G45" s="9">
        <v>0</v>
      </c>
      <c r="H45" s="9">
        <v>0.78</v>
      </c>
      <c r="I45" s="9">
        <v>0.78</v>
      </c>
      <c r="J45" s="9">
        <v>0.81</v>
      </c>
      <c r="K45" s="9"/>
      <c r="L45" s="9"/>
      <c r="M45" s="9"/>
      <c r="N45" s="9"/>
      <c r="O45" s="9"/>
      <c r="P45" s="9"/>
      <c r="Q45" s="9"/>
      <c r="R45" s="33">
        <f t="shared" si="3"/>
        <v>0.81</v>
      </c>
      <c r="S45" s="178"/>
      <c r="T45" s="33">
        <f t="shared" si="2"/>
        <v>0.81</v>
      </c>
      <c r="U45" s="206"/>
    </row>
    <row r="46" spans="1:21" ht="12.75" customHeight="1">
      <c r="A46" s="178"/>
      <c r="B46" s="178">
        <v>794</v>
      </c>
      <c r="C46" s="7" t="s">
        <v>113</v>
      </c>
      <c r="D46" s="37">
        <v>1000000</v>
      </c>
      <c r="E46" s="38" t="s">
        <v>155</v>
      </c>
      <c r="F46" s="32">
        <v>1377771</v>
      </c>
      <c r="G46" s="32">
        <v>1419263</v>
      </c>
      <c r="H46" s="32">
        <v>1445252</v>
      </c>
      <c r="I46" s="32">
        <v>1445332</v>
      </c>
      <c r="J46" s="32">
        <v>1505203</v>
      </c>
      <c r="K46" s="9"/>
      <c r="L46" s="9"/>
      <c r="M46" s="9"/>
      <c r="N46" s="9"/>
      <c r="O46" s="9"/>
      <c r="P46" s="9"/>
      <c r="Q46" s="9"/>
      <c r="R46" s="9">
        <f t="shared" si="3"/>
        <v>1505203</v>
      </c>
      <c r="S46" s="178">
        <v>794</v>
      </c>
      <c r="T46" s="33">
        <f>+(8332+615155+986126+1368800+R46)/(D46*4)</f>
        <v>1.1209039999999999</v>
      </c>
      <c r="U46" s="206">
        <f>+(T46+T47+T48)/3</f>
        <v>1.1226346666666667</v>
      </c>
    </row>
    <row r="47" spans="1:21" ht="12.75" customHeight="1">
      <c r="A47" s="178"/>
      <c r="B47" s="178"/>
      <c r="C47" s="7" t="s">
        <v>113</v>
      </c>
      <c r="D47" s="37">
        <v>3000</v>
      </c>
      <c r="E47" s="38" t="s">
        <v>156</v>
      </c>
      <c r="F47" s="9">
        <v>7</v>
      </c>
      <c r="G47" s="9">
        <v>80</v>
      </c>
      <c r="H47" s="9">
        <v>37</v>
      </c>
      <c r="I47" s="9">
        <v>166</v>
      </c>
      <c r="J47" s="9">
        <v>190</v>
      </c>
      <c r="K47" s="9"/>
      <c r="L47" s="9"/>
      <c r="M47" s="9"/>
      <c r="N47" s="9"/>
      <c r="O47" s="9"/>
      <c r="P47" s="9"/>
      <c r="Q47" s="9"/>
      <c r="R47" s="9">
        <f>SUM(F47:J47)</f>
        <v>480</v>
      </c>
      <c r="S47" s="178"/>
      <c r="T47" s="33">
        <f>+(1852+2855+3695+6082+R47)/(D47*4)</f>
        <v>1.2470000000000001</v>
      </c>
      <c r="U47" s="206"/>
    </row>
    <row r="48" spans="1:21" ht="12.75" customHeight="1">
      <c r="A48" s="178"/>
      <c r="B48" s="178"/>
      <c r="C48" s="7" t="s">
        <v>157</v>
      </c>
      <c r="D48" s="37">
        <v>1</v>
      </c>
      <c r="E48" s="38" t="s">
        <v>158</v>
      </c>
      <c r="F48" s="9">
        <v>1</v>
      </c>
      <c r="G48" s="9">
        <v>1</v>
      </c>
      <c r="H48" s="9">
        <v>1</v>
      </c>
      <c r="I48" s="9">
        <v>1</v>
      </c>
      <c r="J48" s="9">
        <v>1</v>
      </c>
      <c r="K48" s="9"/>
      <c r="L48" s="9"/>
      <c r="M48" s="9"/>
      <c r="N48" s="9"/>
      <c r="O48" s="9"/>
      <c r="P48" s="9"/>
      <c r="Q48" s="9"/>
      <c r="R48" s="9">
        <f>MAX(F48,G48,H48,I48,J48,K48,L48,M48,N48,O48,P48,Q48)</f>
        <v>1</v>
      </c>
      <c r="S48" s="178"/>
      <c r="T48" s="33">
        <f>+R48/D48</f>
        <v>1</v>
      </c>
      <c r="U48" s="206"/>
    </row>
    <row r="49" spans="1:21" ht="12.75" customHeight="1">
      <c r="A49" s="178"/>
      <c r="B49" s="178" t="s">
        <v>159</v>
      </c>
      <c r="C49" s="178"/>
      <c r="D49" s="178"/>
      <c r="E49" s="178"/>
      <c r="F49" s="45"/>
      <c r="G49" s="45"/>
      <c r="H49" s="45"/>
      <c r="I49" s="45"/>
      <c r="J49" s="45"/>
      <c r="K49" s="45"/>
      <c r="L49" s="45"/>
      <c r="M49" s="45"/>
      <c r="N49" s="45"/>
      <c r="O49" s="45"/>
      <c r="P49" s="45"/>
      <c r="Q49" s="45"/>
      <c r="R49" s="45" t="e">
        <f>+(R15/$D$15+R16/$D$16+R17/$D$17+R18/$D$18+R19/$D$19+R20/$D$20+R21/$D$21+R22/$D$22+R23/$D$23+R24/$D$24+R25/$D$25+R26/$D$26+R27/$D$27+R28/$D$28+R29/$D$29+R30/$D$30+R31/$D$31+R32/$D$32+R33/$D$33+R34/$D$34+R35/$D$35+R36/$D$36+R37/$D$37+R38/$D$38+R39/$D$39+R40/$D$40+R41/$D$41+R42/$D$42+R43/$D$43+R44/$D$44+R45/$D$45+R46/$D$46+R47/$D$47+R48/$D$48)/34</f>
        <v>#DIV/0!</v>
      </c>
      <c r="S49" s="205">
        <f>SUM(T15:T48)/34</f>
        <v>0.86323807587323087</v>
      </c>
      <c r="T49" s="205"/>
      <c r="U49" s="205"/>
    </row>
    <row r="50" spans="1:21" ht="12.75" customHeight="1">
      <c r="A50" s="178"/>
      <c r="B50" s="178" t="s">
        <v>160</v>
      </c>
      <c r="C50" s="178"/>
      <c r="D50" s="178"/>
      <c r="E50" s="178"/>
      <c r="F50" s="45">
        <f>+F49</f>
        <v>0</v>
      </c>
      <c r="G50" s="45">
        <f t="shared" ref="G50:N50" si="4">+F49+G49</f>
        <v>0</v>
      </c>
      <c r="H50" s="45">
        <f t="shared" si="4"/>
        <v>0</v>
      </c>
      <c r="I50" s="45">
        <f t="shared" si="4"/>
        <v>0</v>
      </c>
      <c r="J50" s="45">
        <f t="shared" si="4"/>
        <v>0</v>
      </c>
      <c r="K50" s="45">
        <f t="shared" si="4"/>
        <v>0</v>
      </c>
      <c r="L50" s="45">
        <f t="shared" si="4"/>
        <v>0</v>
      </c>
      <c r="M50" s="45">
        <f t="shared" si="4"/>
        <v>0</v>
      </c>
      <c r="N50" s="45">
        <f t="shared" si="4"/>
        <v>0</v>
      </c>
      <c r="O50" s="45">
        <f>+O49-N49</f>
        <v>0</v>
      </c>
      <c r="P50" s="45">
        <f>+P49-O49</f>
        <v>0</v>
      </c>
      <c r="Q50" s="45">
        <f>+Q49-P49</f>
        <v>0</v>
      </c>
      <c r="R50" s="45" t="e">
        <f>+R49-Q49</f>
        <v>#DIV/0!</v>
      </c>
      <c r="S50" s="205">
        <f>+(U15+U17+U19+U22+U30+U35+U39+U40+U43+U46)/10</f>
        <v>0.90385912394343126</v>
      </c>
      <c r="T50" s="205"/>
      <c r="U50" s="205"/>
    </row>
    <row r="51" spans="1:21" s="15" customFormat="1" ht="12.75" customHeight="1">
      <c r="A51" s="13"/>
      <c r="B51" s="13"/>
      <c r="C51" s="13"/>
      <c r="D51" s="13"/>
      <c r="E51" s="13"/>
      <c r="F51" s="14">
        <v>0.8</v>
      </c>
      <c r="G51" s="14">
        <v>0.8</v>
      </c>
      <c r="H51" s="14">
        <v>0.8</v>
      </c>
      <c r="I51" s="14">
        <v>0.8</v>
      </c>
      <c r="J51" s="14">
        <v>0.8</v>
      </c>
      <c r="K51" s="14">
        <v>0.8</v>
      </c>
      <c r="L51" s="14">
        <v>0.8</v>
      </c>
      <c r="M51" s="14">
        <v>0.8</v>
      </c>
      <c r="N51" s="14">
        <v>0.8</v>
      </c>
      <c r="O51" s="14">
        <v>0.8</v>
      </c>
      <c r="P51" s="14">
        <v>0.8</v>
      </c>
      <c r="Q51" s="14">
        <v>0.8</v>
      </c>
      <c r="R51" s="14"/>
      <c r="S51" s="14"/>
      <c r="T51" s="14"/>
      <c r="U51" s="34"/>
    </row>
    <row r="52" spans="1:21" ht="30" customHeight="1">
      <c r="A52" s="180"/>
      <c r="B52" s="180"/>
      <c r="C52" s="180"/>
      <c r="D52" s="180"/>
      <c r="E52" s="180"/>
      <c r="F52" s="180"/>
      <c r="G52" s="180"/>
      <c r="H52" s="180"/>
      <c r="I52" s="180"/>
      <c r="J52" s="180"/>
      <c r="K52" s="180"/>
      <c r="L52" s="180"/>
      <c r="M52" s="180"/>
      <c r="N52" s="181"/>
      <c r="O52" s="181"/>
      <c r="P52" s="181"/>
      <c r="Q52" s="181"/>
      <c r="R52" s="181"/>
      <c r="S52" s="181"/>
      <c r="T52" s="181"/>
      <c r="U52" s="181"/>
    </row>
    <row r="53" spans="1:21" ht="36.6" customHeight="1">
      <c r="A53" s="16"/>
      <c r="B53" s="17"/>
      <c r="C53" s="17"/>
      <c r="D53" s="17"/>
      <c r="E53" s="17"/>
      <c r="F53" s="17"/>
      <c r="G53" s="17"/>
      <c r="H53" s="17"/>
      <c r="I53" s="17"/>
      <c r="J53" s="17"/>
      <c r="K53" s="18"/>
      <c r="L53" s="18"/>
      <c r="M53" s="19"/>
      <c r="N53" s="182" t="s">
        <v>161</v>
      </c>
      <c r="O53" s="182"/>
      <c r="P53" s="182"/>
      <c r="Q53" s="182"/>
      <c r="R53" s="182"/>
      <c r="S53" s="182"/>
      <c r="T53" s="182"/>
      <c r="U53" s="182"/>
    </row>
    <row r="54" spans="1:21" ht="36.6" customHeight="1">
      <c r="A54" s="20"/>
      <c r="B54" s="21"/>
      <c r="C54" s="21"/>
      <c r="D54" s="21"/>
      <c r="E54" s="21"/>
      <c r="F54" s="21"/>
      <c r="G54" s="21"/>
      <c r="H54" s="21"/>
      <c r="I54" s="21"/>
      <c r="J54" s="21"/>
      <c r="K54" s="22"/>
      <c r="L54" s="22"/>
      <c r="M54" s="23"/>
      <c r="N54" s="178" t="s">
        <v>26</v>
      </c>
      <c r="O54" s="178"/>
      <c r="P54" s="178"/>
      <c r="Q54" s="178"/>
      <c r="R54" s="178"/>
      <c r="S54" s="178"/>
      <c r="T54" s="178"/>
      <c r="U54" s="178"/>
    </row>
    <row r="55" spans="1:21" ht="36.6" customHeight="1">
      <c r="A55" s="24"/>
      <c r="B55" s="25"/>
      <c r="C55" s="25"/>
      <c r="D55" s="25"/>
      <c r="E55" s="25"/>
      <c r="F55" s="25"/>
      <c r="G55" s="25"/>
      <c r="H55" s="25"/>
      <c r="I55" s="25"/>
      <c r="J55" s="25"/>
      <c r="K55" s="26"/>
      <c r="L55" s="26"/>
      <c r="M55" s="27"/>
      <c r="N55" s="178" t="s">
        <v>27</v>
      </c>
      <c r="O55" s="178"/>
      <c r="P55" s="178"/>
      <c r="Q55" s="178"/>
      <c r="R55" s="178"/>
      <c r="S55" s="178"/>
      <c r="T55" s="178"/>
      <c r="U55" s="178"/>
    </row>
  </sheetData>
  <sheetProtection selectLockedCells="1" selectUnlockedCells="1"/>
  <mergeCells count="54">
    <mergeCell ref="A1:U3"/>
    <mergeCell ref="A4:U6"/>
    <mergeCell ref="A7:U7"/>
    <mergeCell ref="A8:U8"/>
    <mergeCell ref="A9:F9"/>
    <mergeCell ref="G9:L9"/>
    <mergeCell ref="M9:O9"/>
    <mergeCell ref="P9:U9"/>
    <mergeCell ref="A10:F10"/>
    <mergeCell ref="G10:L10"/>
    <mergeCell ref="M10:O10"/>
    <mergeCell ref="P10:U10"/>
    <mergeCell ref="A11:F11"/>
    <mergeCell ref="G11:L11"/>
    <mergeCell ref="M11:O11"/>
    <mergeCell ref="P11:U11"/>
    <mergeCell ref="A13:U13"/>
    <mergeCell ref="A15:A50"/>
    <mergeCell ref="B15:B16"/>
    <mergeCell ref="S15:S16"/>
    <mergeCell ref="U15:U16"/>
    <mergeCell ref="B17:B18"/>
    <mergeCell ref="S17:S18"/>
    <mergeCell ref="U17:U18"/>
    <mergeCell ref="B19:B21"/>
    <mergeCell ref="S19:S21"/>
    <mergeCell ref="U19:U21"/>
    <mergeCell ref="B22:B29"/>
    <mergeCell ref="S22:S29"/>
    <mergeCell ref="U22:U29"/>
    <mergeCell ref="B30:B34"/>
    <mergeCell ref="S30:S34"/>
    <mergeCell ref="U30:U34"/>
    <mergeCell ref="B35:B38"/>
    <mergeCell ref="S35:S38"/>
    <mergeCell ref="U35:U38"/>
    <mergeCell ref="B40:B42"/>
    <mergeCell ref="S40:S42"/>
    <mergeCell ref="U40:U42"/>
    <mergeCell ref="B43:B45"/>
    <mergeCell ref="S43:S45"/>
    <mergeCell ref="U43:U45"/>
    <mergeCell ref="B46:B48"/>
    <mergeCell ref="S46:S48"/>
    <mergeCell ref="U46:U48"/>
    <mergeCell ref="N53:U53"/>
    <mergeCell ref="N54:U54"/>
    <mergeCell ref="N55:U55"/>
    <mergeCell ref="B49:E49"/>
    <mergeCell ref="S49:U49"/>
    <mergeCell ref="B50:E50"/>
    <mergeCell ref="S50:U50"/>
    <mergeCell ref="A52:M52"/>
    <mergeCell ref="N52:U52"/>
  </mergeCells>
  <dataValidations count="3">
    <dataValidation operator="equal" allowBlank="1" showErrorMessage="1" errorTitle="Seleccionar un valor de la lista" sqref="I15:P15 F16:P16 I17:P22 I23:O23 I24:P25 I26:Q26 I27:P36 I37:Q38 I39:P44 I45:Q45 I46:P48">
      <formula1>0</formula1>
      <formula2>0</formula2>
    </dataValidation>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opLeftCell="A13" zoomScale="75" zoomScaleNormal="75" workbookViewId="0">
      <selection activeCell="L27" sqref="L27"/>
    </sheetView>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7.85546875" style="1" customWidth="1"/>
    <col min="6" max="17" width="10.7109375" style="1" customWidth="1"/>
    <col min="18" max="18" width="13.140625" style="1" customWidth="1"/>
    <col min="19" max="19" width="12.28515625" style="1" customWidth="1"/>
    <col min="20" max="20" width="10.7109375" style="1" customWidth="1"/>
    <col min="21" max="21" width="12.140625" style="1" customWidth="1"/>
    <col min="22" max="22" width="2.7109375" style="1" customWidth="1"/>
    <col min="23" max="16384" width="11.42578125" style="1"/>
  </cols>
  <sheetData>
    <row r="1" spans="1:256" s="3" customFormat="1" ht="13.9" customHeight="1">
      <c r="A1" s="184" t="s">
        <v>0</v>
      </c>
      <c r="B1" s="184"/>
      <c r="C1" s="184"/>
      <c r="D1" s="184"/>
      <c r="E1" s="184"/>
      <c r="F1" s="184"/>
      <c r="G1" s="184"/>
      <c r="H1" s="184"/>
      <c r="I1" s="184"/>
      <c r="J1" s="184"/>
      <c r="K1" s="184"/>
      <c r="L1" s="184"/>
      <c r="M1" s="184"/>
      <c r="N1" s="184"/>
      <c r="O1" s="184"/>
      <c r="P1" s="184"/>
      <c r="Q1" s="184"/>
      <c r="R1" s="184"/>
      <c r="S1" s="184"/>
      <c r="T1" s="184"/>
      <c r="U1" s="184"/>
    </row>
    <row r="2" spans="1:256" s="3" customFormat="1" ht="13.9" customHeight="1">
      <c r="A2" s="184"/>
      <c r="B2" s="184"/>
      <c r="C2" s="184"/>
      <c r="D2" s="184"/>
      <c r="E2" s="184"/>
      <c r="F2" s="184"/>
      <c r="G2" s="184"/>
      <c r="H2" s="184"/>
      <c r="I2" s="184"/>
      <c r="J2" s="184"/>
      <c r="K2" s="184"/>
      <c r="L2" s="184"/>
      <c r="M2" s="184"/>
      <c r="N2" s="184"/>
      <c r="O2" s="184"/>
      <c r="P2" s="184"/>
      <c r="Q2" s="184"/>
      <c r="R2" s="184"/>
      <c r="S2" s="184"/>
      <c r="T2" s="184"/>
      <c r="U2" s="184"/>
    </row>
    <row r="3" spans="1:256" s="3" customFormat="1" ht="13.9" customHeight="1">
      <c r="A3" s="184"/>
      <c r="B3" s="184"/>
      <c r="C3" s="184"/>
      <c r="D3" s="184"/>
      <c r="E3" s="184"/>
      <c r="F3" s="184"/>
      <c r="G3" s="184"/>
      <c r="H3" s="184"/>
      <c r="I3" s="184"/>
      <c r="J3" s="184"/>
      <c r="K3" s="184"/>
      <c r="L3" s="184"/>
      <c r="M3" s="184"/>
      <c r="N3" s="184"/>
      <c r="O3" s="184"/>
      <c r="P3" s="184"/>
      <c r="Q3" s="184"/>
      <c r="R3" s="184"/>
      <c r="S3" s="184"/>
      <c r="T3" s="184"/>
      <c r="U3" s="184"/>
    </row>
    <row r="4" spans="1:256" s="3" customFormat="1" ht="13.9" customHeight="1">
      <c r="A4" s="184" t="s">
        <v>1</v>
      </c>
      <c r="B4" s="184"/>
      <c r="C4" s="184"/>
      <c r="D4" s="184"/>
      <c r="E4" s="184"/>
      <c r="F4" s="184"/>
      <c r="G4" s="184"/>
      <c r="H4" s="184"/>
      <c r="I4" s="184"/>
      <c r="J4" s="184"/>
      <c r="K4" s="184"/>
      <c r="L4" s="184"/>
      <c r="M4" s="184"/>
      <c r="N4" s="184"/>
      <c r="O4" s="184"/>
      <c r="P4" s="184"/>
      <c r="Q4" s="184"/>
      <c r="R4" s="184"/>
      <c r="S4" s="184"/>
      <c r="T4" s="184"/>
      <c r="U4" s="184"/>
    </row>
    <row r="5" spans="1:256" s="3" customFormat="1" ht="13.9" customHeight="1">
      <c r="A5" s="184"/>
      <c r="B5" s="184"/>
      <c r="C5" s="184"/>
      <c r="D5" s="184"/>
      <c r="E5" s="184"/>
      <c r="F5" s="184"/>
      <c r="G5" s="184"/>
      <c r="H5" s="184"/>
      <c r="I5" s="184"/>
      <c r="J5" s="184"/>
      <c r="K5" s="184"/>
      <c r="L5" s="184"/>
      <c r="M5" s="184"/>
      <c r="N5" s="184"/>
      <c r="O5" s="184"/>
      <c r="P5" s="184"/>
      <c r="Q5" s="184"/>
      <c r="R5" s="184"/>
      <c r="S5" s="184"/>
      <c r="T5" s="184"/>
      <c r="U5" s="184"/>
    </row>
    <row r="6" spans="1:256" s="3" customFormat="1" ht="13.9" customHeight="1">
      <c r="A6" s="184"/>
      <c r="B6" s="184"/>
      <c r="C6" s="184"/>
      <c r="D6" s="184"/>
      <c r="E6" s="184"/>
      <c r="F6" s="184"/>
      <c r="G6" s="184"/>
      <c r="H6" s="184"/>
      <c r="I6" s="184"/>
      <c r="J6" s="184"/>
      <c r="K6" s="184"/>
      <c r="L6" s="184"/>
      <c r="M6" s="184"/>
      <c r="N6" s="184"/>
      <c r="O6" s="184"/>
      <c r="P6" s="184"/>
      <c r="Q6" s="184"/>
      <c r="R6" s="184"/>
      <c r="S6" s="184"/>
      <c r="T6" s="184"/>
      <c r="U6" s="184"/>
    </row>
    <row r="7" spans="1:256" s="3" customFormat="1" ht="12.75" customHeight="1">
      <c r="A7" s="185"/>
      <c r="B7" s="185"/>
      <c r="C7" s="185"/>
      <c r="D7" s="185"/>
      <c r="E7" s="185"/>
      <c r="F7" s="185"/>
      <c r="G7" s="185"/>
      <c r="H7" s="185"/>
      <c r="I7" s="185"/>
      <c r="J7" s="185"/>
      <c r="K7" s="185"/>
      <c r="L7" s="185"/>
      <c r="M7" s="185"/>
      <c r="N7" s="185"/>
      <c r="O7" s="185"/>
      <c r="P7" s="185"/>
      <c r="Q7" s="185"/>
      <c r="R7" s="185"/>
      <c r="S7" s="185"/>
      <c r="T7" s="185"/>
      <c r="U7" s="185"/>
    </row>
    <row r="8" spans="1:256" ht="30" customHeight="1">
      <c r="A8" s="179" t="s">
        <v>2</v>
      </c>
      <c r="B8" s="179"/>
      <c r="C8" s="179"/>
      <c r="D8" s="179"/>
      <c r="E8" s="179"/>
      <c r="F8" s="179"/>
      <c r="G8" s="179"/>
      <c r="H8" s="179"/>
      <c r="I8" s="179"/>
      <c r="J8" s="179"/>
      <c r="K8" s="179"/>
      <c r="L8" s="179"/>
      <c r="M8" s="179"/>
      <c r="N8" s="179"/>
      <c r="O8" s="179"/>
      <c r="P8" s="179"/>
      <c r="Q8" s="179"/>
      <c r="R8" s="179"/>
      <c r="S8" s="179"/>
      <c r="T8" s="179"/>
      <c r="U8" s="179"/>
    </row>
    <row r="9" spans="1:256" ht="42" customHeight="1">
      <c r="A9" s="182" t="s">
        <v>3</v>
      </c>
      <c r="B9" s="182"/>
      <c r="C9" s="182"/>
      <c r="D9" s="182"/>
      <c r="E9" s="182"/>
      <c r="F9" s="182"/>
      <c r="G9" s="183" t="s">
        <v>89</v>
      </c>
      <c r="H9" s="183"/>
      <c r="I9" s="183"/>
      <c r="J9" s="183"/>
      <c r="K9" s="183"/>
      <c r="L9" s="183"/>
      <c r="M9" s="182" t="s">
        <v>5</v>
      </c>
      <c r="N9" s="182"/>
      <c r="O9" s="182"/>
      <c r="P9" s="201" t="s">
        <v>90</v>
      </c>
      <c r="Q9" s="201"/>
      <c r="R9" s="201"/>
      <c r="S9" s="201"/>
      <c r="T9" s="201"/>
      <c r="U9" s="201"/>
    </row>
    <row r="10" spans="1:256" ht="42" customHeight="1">
      <c r="A10" s="182" t="s">
        <v>7</v>
      </c>
      <c r="B10" s="182"/>
      <c r="C10" s="182"/>
      <c r="D10" s="182"/>
      <c r="E10" s="182"/>
      <c r="F10" s="182"/>
      <c r="G10" s="183" t="s">
        <v>8</v>
      </c>
      <c r="H10" s="183"/>
      <c r="I10" s="183"/>
      <c r="J10" s="183"/>
      <c r="K10" s="183"/>
      <c r="L10" s="183"/>
      <c r="M10" s="182" t="s">
        <v>9</v>
      </c>
      <c r="N10" s="182"/>
      <c r="O10" s="182"/>
      <c r="P10" s="201" t="s">
        <v>10</v>
      </c>
      <c r="Q10" s="201"/>
      <c r="R10" s="201"/>
      <c r="S10" s="201"/>
      <c r="T10" s="201"/>
      <c r="U10" s="201"/>
    </row>
    <row r="11" spans="1:256" ht="52.9" customHeight="1">
      <c r="A11" s="182" t="s">
        <v>11</v>
      </c>
      <c r="B11" s="182"/>
      <c r="C11" s="182"/>
      <c r="D11" s="182"/>
      <c r="E11" s="182"/>
      <c r="F11" s="182"/>
      <c r="G11" s="183" t="s">
        <v>91</v>
      </c>
      <c r="H11" s="183"/>
      <c r="I11" s="183"/>
      <c r="J11" s="183"/>
      <c r="K11" s="183"/>
      <c r="L11" s="183"/>
      <c r="M11" s="182" t="s">
        <v>32</v>
      </c>
      <c r="N11" s="182"/>
      <c r="O11" s="182"/>
      <c r="P11" s="201" t="s">
        <v>33</v>
      </c>
      <c r="Q11" s="201"/>
      <c r="R11" s="201"/>
      <c r="S11" s="201"/>
      <c r="T11" s="201"/>
      <c r="U11" s="201"/>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52</v>
      </c>
      <c r="B13" s="179"/>
      <c r="C13" s="179"/>
      <c r="D13" s="179"/>
      <c r="E13" s="179"/>
      <c r="F13" s="179"/>
      <c r="G13" s="179"/>
      <c r="H13" s="179"/>
      <c r="I13" s="179"/>
      <c r="J13" s="179"/>
      <c r="K13" s="179"/>
      <c r="L13" s="179"/>
      <c r="M13" s="179"/>
      <c r="N13" s="179"/>
      <c r="O13" s="179"/>
      <c r="P13" s="179"/>
      <c r="Q13" s="179"/>
      <c r="R13" s="179"/>
      <c r="S13" s="179"/>
      <c r="T13" s="179"/>
      <c r="U13" s="179"/>
    </row>
    <row r="14" spans="1:256" ht="45" customHeight="1">
      <c r="A14" s="4" t="s">
        <v>53</v>
      </c>
      <c r="B14" s="4" t="s">
        <v>93</v>
      </c>
      <c r="C14" s="6" t="s">
        <v>94</v>
      </c>
      <c r="D14" s="6" t="s">
        <v>95</v>
      </c>
      <c r="E14" s="6" t="s">
        <v>96</v>
      </c>
      <c r="F14" s="6" t="s">
        <v>55</v>
      </c>
      <c r="G14" s="4" t="s">
        <v>56</v>
      </c>
      <c r="H14" s="4" t="s">
        <v>57</v>
      </c>
      <c r="I14" s="4" t="s">
        <v>58</v>
      </c>
      <c r="J14" s="4" t="s">
        <v>59</v>
      </c>
      <c r="K14" s="4" t="s">
        <v>60</v>
      </c>
      <c r="L14" s="4" t="s">
        <v>61</v>
      </c>
      <c r="M14" s="4" t="s">
        <v>62</v>
      </c>
      <c r="N14" s="4" t="s">
        <v>63</v>
      </c>
      <c r="O14" s="4" t="s">
        <v>64</v>
      </c>
      <c r="P14" s="4" t="s">
        <v>65</v>
      </c>
      <c r="Q14" s="4" t="s">
        <v>66</v>
      </c>
      <c r="R14" s="4" t="s">
        <v>97</v>
      </c>
      <c r="S14" s="4" t="s">
        <v>162</v>
      </c>
      <c r="T14" s="4" t="s">
        <v>93</v>
      </c>
      <c r="U14" s="4" t="s">
        <v>163</v>
      </c>
    </row>
    <row r="15" spans="1:256" ht="15" customHeight="1">
      <c r="A15" s="178">
        <v>2017</v>
      </c>
      <c r="B15" s="178">
        <v>914</v>
      </c>
      <c r="C15" s="7" t="s">
        <v>100</v>
      </c>
      <c r="D15" s="37">
        <v>92000</v>
      </c>
      <c r="E15" s="38" t="s">
        <v>101</v>
      </c>
      <c r="F15" s="33">
        <f>+'Seguim Proy inversión 2017'!F15/$D15</f>
        <v>0</v>
      </c>
      <c r="G15" s="33">
        <f>+'Seguim Proy inversión 2017'!G15/$D15</f>
        <v>2.4021739130434781E-3</v>
      </c>
      <c r="H15" s="33">
        <f>+'Seguim Proy inversión 2017'!H15/$D15+G15</f>
        <v>0.17047826086956522</v>
      </c>
      <c r="I15" s="33">
        <f>+'Seguim Proy inversión 2017'!I15/$D15+H15</f>
        <v>0.3626195652173913</v>
      </c>
      <c r="J15" s="33">
        <f>+'Seguim Proy inversión 2017'!J15/$D15+I15</f>
        <v>0.46614130434782608</v>
      </c>
      <c r="K15" s="33">
        <f>+'Seguim Proy inversión 2017'!K15/$D15</f>
        <v>0</v>
      </c>
      <c r="L15" s="33"/>
      <c r="M15" s="33"/>
      <c r="N15" s="33"/>
      <c r="O15" s="33"/>
      <c r="P15" s="33"/>
      <c r="Q15" s="33"/>
      <c r="R15" s="33">
        <f>MAX(F15,G15,H15,I15,J15,K15,L15,M15,N15,O15,P15,Q15)</f>
        <v>0.46614130434782608</v>
      </c>
      <c r="S15" s="46">
        <v>0.7</v>
      </c>
      <c r="T15" s="178">
        <v>914</v>
      </c>
      <c r="U15" s="208">
        <f>+R15*S15+R16*S16</f>
        <v>0.64504891304347822</v>
      </c>
    </row>
    <row r="16" spans="1:256" ht="28.5" customHeight="1">
      <c r="A16" s="178"/>
      <c r="B16" s="178"/>
      <c r="C16" s="7" t="s">
        <v>102</v>
      </c>
      <c r="D16" s="39">
        <v>80</v>
      </c>
      <c r="E16" s="38" t="s">
        <v>103</v>
      </c>
      <c r="F16" s="33">
        <f>+'Seguim Proy inversión 2017'!F16/$D16</f>
        <v>0.97499999999999998</v>
      </c>
      <c r="G16" s="33">
        <f>+'Seguim Proy inversión 2017'!G16/$D16</f>
        <v>0.97499999999999998</v>
      </c>
      <c r="H16" s="33">
        <f>+'Seguim Proy inversión 2017'!H16/$D16</f>
        <v>1.0375000000000001</v>
      </c>
      <c r="I16" s="33">
        <f>+'Seguim Proy inversión 2017'!I16/$D16</f>
        <v>1.0375000000000001</v>
      </c>
      <c r="J16" s="33">
        <f>+'Seguim Proy inversión 2017'!J16/$D16</f>
        <v>1.0625</v>
      </c>
      <c r="K16" s="33">
        <f>+'Seguim Proy inversión 2017'!K16/$D16</f>
        <v>0</v>
      </c>
      <c r="L16" s="33"/>
      <c r="M16" s="33"/>
      <c r="N16" s="33"/>
      <c r="O16" s="33"/>
      <c r="P16" s="33"/>
      <c r="Q16" s="33"/>
      <c r="R16" s="33">
        <f>MAX(F16,G16,H16,I16,J16,K16,L16,M16,N16,O16,P16,Q16)</f>
        <v>1.0625</v>
      </c>
      <c r="S16" s="46">
        <v>0.30000000000000004</v>
      </c>
      <c r="T16" s="178"/>
      <c r="U16" s="208"/>
    </row>
    <row r="17" spans="1:21" ht="30" customHeight="1">
      <c r="A17" s="178"/>
      <c r="B17" s="178">
        <v>915</v>
      </c>
      <c r="C17" s="7" t="s">
        <v>104</v>
      </c>
      <c r="D17" s="37">
        <v>65216</v>
      </c>
      <c r="E17" s="38" t="s">
        <v>105</v>
      </c>
      <c r="F17" s="33">
        <f>+'Seguim Proy inversión 2017'!F17/$D17</f>
        <v>0</v>
      </c>
      <c r="G17" s="33">
        <f>+'Seguim Proy inversión 2017'!G17/$D17</f>
        <v>0.59943878802747796</v>
      </c>
      <c r="H17" s="33">
        <f>+'Seguim Proy inversión 2017'!H17/$D17</f>
        <v>0.62786739450441609</v>
      </c>
      <c r="I17" s="33">
        <f>+'Seguim Proy inversión 2017'!I17/$D17</f>
        <v>0.72255274779195289</v>
      </c>
      <c r="J17" s="33">
        <f>+'Seguim Proy inversión 2017'!J17/$D17</f>
        <v>0.75035267419038276</v>
      </c>
      <c r="K17" s="33">
        <f>+'Seguim Proy inversión 2017'!K17/$D17</f>
        <v>0</v>
      </c>
      <c r="L17" s="33"/>
      <c r="M17" s="33"/>
      <c r="N17" s="33"/>
      <c r="O17" s="33"/>
      <c r="P17" s="33"/>
      <c r="Q17" s="33"/>
      <c r="R17" s="33">
        <f>+'Seguim Proy inversión 2017'!T17</f>
        <v>0.75035267419038276</v>
      </c>
      <c r="S17" s="33">
        <v>0.7</v>
      </c>
      <c r="T17" s="178">
        <v>915</v>
      </c>
      <c r="U17" s="205">
        <f>+R17*S17+R18*S18</f>
        <v>0.94063148731788337</v>
      </c>
    </row>
    <row r="18" spans="1:21" ht="30" customHeight="1">
      <c r="A18" s="178"/>
      <c r="B18" s="178"/>
      <c r="C18" s="7" t="s">
        <v>106</v>
      </c>
      <c r="D18" s="39">
        <v>26</v>
      </c>
      <c r="E18" s="38" t="s">
        <v>107</v>
      </c>
      <c r="F18" s="33">
        <f>+'Seguim Proy inversión 2017'!F18/$D18</f>
        <v>0</v>
      </c>
      <c r="G18" s="33">
        <f>+'Seguim Proy inversión 2017'!G18/$D18</f>
        <v>0</v>
      </c>
      <c r="H18" s="33">
        <f>+'Seguim Proy inversión 2017'!H18/$D18</f>
        <v>0.46153846153846156</v>
      </c>
      <c r="I18" s="33">
        <f>+'Seguim Proy inversión 2017'!I18/$D18</f>
        <v>0.38461538461538464</v>
      </c>
      <c r="J18" s="33">
        <f>+'Seguim Proy inversión 2017'!J18/$D18</f>
        <v>0.53846153846153844</v>
      </c>
      <c r="K18" s="33">
        <f>+'Seguim Proy inversión 2017'!K18/$D18</f>
        <v>0</v>
      </c>
      <c r="L18" s="33"/>
      <c r="M18" s="33"/>
      <c r="N18" s="33"/>
      <c r="O18" s="33"/>
      <c r="P18" s="33"/>
      <c r="Q18" s="33"/>
      <c r="R18" s="33">
        <f>+'Seguim Proy inversión 2017'!R18/$D18</f>
        <v>1.3846153846153846</v>
      </c>
      <c r="S18" s="33">
        <v>0.30000000000000004</v>
      </c>
      <c r="T18" s="178"/>
      <c r="U18" s="205"/>
    </row>
    <row r="19" spans="1:21" ht="15" customHeight="1">
      <c r="A19" s="178"/>
      <c r="B19" s="178">
        <v>772</v>
      </c>
      <c r="C19" s="7" t="s">
        <v>108</v>
      </c>
      <c r="D19" s="39">
        <v>6</v>
      </c>
      <c r="E19" s="38" t="s">
        <v>109</v>
      </c>
      <c r="F19" s="33">
        <f>+'Seguim Proy inversión 2017'!F19/$D19</f>
        <v>0.33333333333333331</v>
      </c>
      <c r="G19" s="33">
        <f>+'Seguim Proy inversión 2017'!G19/$D19</f>
        <v>0</v>
      </c>
      <c r="H19" s="33">
        <f>+'Seguim Proy inversión 2017'!H19/$D19</f>
        <v>0</v>
      </c>
      <c r="I19" s="33">
        <f>+'Seguim Proy inversión 2017'!I19/$D19</f>
        <v>0.16666666666666666</v>
      </c>
      <c r="J19" s="33">
        <f>+'Seguim Proy inversión 2017'!J19/$D19</f>
        <v>0</v>
      </c>
      <c r="K19" s="33">
        <f>+'Seguim Proy inversión 2017'!K19/$D19</f>
        <v>0</v>
      </c>
      <c r="L19" s="33"/>
      <c r="M19" s="33"/>
      <c r="N19" s="33"/>
      <c r="O19" s="33"/>
      <c r="P19" s="33"/>
      <c r="Q19" s="33"/>
      <c r="R19" s="33">
        <f>+'Seguim Proy inversión 2017'!R19/$D19</f>
        <v>0.5</v>
      </c>
      <c r="S19" s="33">
        <v>0.4</v>
      </c>
      <c r="T19" s="178">
        <v>772</v>
      </c>
      <c r="U19" s="205">
        <f>+R19*S19+R20*S20+R21*S21</f>
        <v>0.7</v>
      </c>
    </row>
    <row r="20" spans="1:21" ht="30" customHeight="1">
      <c r="A20" s="178"/>
      <c r="B20" s="178"/>
      <c r="C20" s="7" t="s">
        <v>110</v>
      </c>
      <c r="D20" s="39">
        <v>5</v>
      </c>
      <c r="E20" s="38" t="s">
        <v>111</v>
      </c>
      <c r="F20" s="33">
        <f>+'Seguim Proy inversión 2017'!F20/$D20</f>
        <v>0</v>
      </c>
      <c r="G20" s="33">
        <f>+'Seguim Proy inversión 2017'!G20/$D20</f>
        <v>0</v>
      </c>
      <c r="H20" s="33">
        <f>+'Seguim Proy inversión 2017'!H20/$D20</f>
        <v>0.6</v>
      </c>
      <c r="I20" s="33">
        <f>+'Seguim Proy inversión 2017'!I20/$D20</f>
        <v>0.4</v>
      </c>
      <c r="J20" s="33">
        <f>+'Seguim Proy inversión 2017'!J20/$D20</f>
        <v>0</v>
      </c>
      <c r="K20" s="33">
        <f>+'Seguim Proy inversión 2017'!K20/$D20</f>
        <v>0</v>
      </c>
      <c r="L20" s="33"/>
      <c r="M20" s="33"/>
      <c r="N20" s="33"/>
      <c r="O20" s="33"/>
      <c r="P20" s="33"/>
      <c r="Q20" s="33"/>
      <c r="R20" s="33">
        <f>+'Seguim Proy inversión 2017'!R20/$D20</f>
        <v>1</v>
      </c>
      <c r="S20" s="33">
        <v>0.5</v>
      </c>
      <c r="T20" s="178"/>
      <c r="U20" s="205"/>
    </row>
    <row r="21" spans="1:21" ht="15" customHeight="1">
      <c r="A21" s="178"/>
      <c r="B21" s="178"/>
      <c r="C21" s="7" t="s">
        <v>110</v>
      </c>
      <c r="D21" s="39">
        <v>2</v>
      </c>
      <c r="E21" s="38" t="s">
        <v>112</v>
      </c>
      <c r="F21" s="33">
        <f>+'Seguim Proy inversión 2017'!F21/$D21</f>
        <v>0</v>
      </c>
      <c r="G21" s="33">
        <f>+'Seguim Proy inversión 2017'!G21/$D21</f>
        <v>0</v>
      </c>
      <c r="H21" s="33">
        <f>+'Seguim Proy inversión 2017'!H21/$D21</f>
        <v>0</v>
      </c>
      <c r="I21" s="33">
        <f>+'Seguim Proy inversión 2017'!I21/$D21</f>
        <v>0</v>
      </c>
      <c r="J21" s="33">
        <f>+'Seguim Proy inversión 2017'!J21/$D21</f>
        <v>0</v>
      </c>
      <c r="K21" s="33">
        <f>+'Seguim Proy inversión 2017'!K21/$D21</f>
        <v>0</v>
      </c>
      <c r="L21" s="33"/>
      <c r="M21" s="33"/>
      <c r="N21" s="33"/>
      <c r="O21" s="33"/>
      <c r="P21" s="33"/>
      <c r="Q21" s="33"/>
      <c r="R21" s="33">
        <f>+'Seguim Proy inversión 2017'!R21/$D21</f>
        <v>0</v>
      </c>
      <c r="S21" s="33">
        <v>0.1</v>
      </c>
      <c r="T21" s="178"/>
      <c r="U21" s="205"/>
    </row>
    <row r="22" spans="1:21" ht="15" customHeight="1">
      <c r="A22" s="178"/>
      <c r="B22" s="178">
        <v>795</v>
      </c>
      <c r="C22" s="7" t="s">
        <v>113</v>
      </c>
      <c r="D22" s="39">
        <v>1140000</v>
      </c>
      <c r="E22" s="38" t="s">
        <v>114</v>
      </c>
      <c r="F22" s="33">
        <f>+'Seguim Proy inversión 2017'!F22/$D22</f>
        <v>1.0603508771929825E-2</v>
      </c>
      <c r="G22" s="33">
        <f>+'Seguim Proy inversión 2017'!G22/$D22</f>
        <v>4.6640350877192984E-3</v>
      </c>
      <c r="H22" s="33">
        <f>+'Seguim Proy inversión 2017'!H22/$D22</f>
        <v>0.18991228070175439</v>
      </c>
      <c r="I22" s="33">
        <f>+'Seguim Proy inversión 2017'!I22/$D22</f>
        <v>2.5500877192982455E-2</v>
      </c>
      <c r="J22" s="33">
        <f>+'Seguim Proy inversión 2017'!J22/$D22</f>
        <v>1.2992105263157895E-2</v>
      </c>
      <c r="K22" s="33">
        <f>+'Seguim Proy inversión 2017'!K22/$D22</f>
        <v>0</v>
      </c>
      <c r="L22" s="33"/>
      <c r="M22" s="33"/>
      <c r="N22" s="33"/>
      <c r="O22" s="33"/>
      <c r="P22" s="33"/>
      <c r="Q22" s="33"/>
      <c r="R22" s="33">
        <f>+'Seguim Proy inversión 2017'!T22</f>
        <v>1.2712313596491227</v>
      </c>
      <c r="S22" s="33">
        <v>0.15</v>
      </c>
      <c r="T22" s="178">
        <v>795</v>
      </c>
      <c r="U22" s="205">
        <f>+R22*S22+R23*S23+R24*S24+R25*S25+R26*S26+R27*S27+R28*S28+R29*S29</f>
        <v>1.0904908736724781</v>
      </c>
    </row>
    <row r="23" spans="1:21" ht="57" customHeight="1">
      <c r="A23" s="178"/>
      <c r="B23" s="178"/>
      <c r="C23" s="7" t="s">
        <v>115</v>
      </c>
      <c r="D23" s="39">
        <v>260000</v>
      </c>
      <c r="E23" s="38" t="s">
        <v>116</v>
      </c>
      <c r="F23" s="33">
        <f>+'Seguim Proy inversión 2017'!F23/$D23</f>
        <v>0</v>
      </c>
      <c r="G23" s="33">
        <f>+'Seguim Proy inversión 2017'!G23/$D23</f>
        <v>0</v>
      </c>
      <c r="H23" s="33">
        <f>+'Seguim Proy inversión 2017'!H23/$D23</f>
        <v>1.0688461538461539E-2</v>
      </c>
      <c r="I23" s="33">
        <f>+'Seguim Proy inversión 2017'!I23/$D23</f>
        <v>0</v>
      </c>
      <c r="J23" s="33">
        <f>+'Seguim Proy inversión 2017'!J23/$D23</f>
        <v>5.1480769230769233E-2</v>
      </c>
      <c r="K23" s="33">
        <f>+'Seguim Proy inversión 2017'!K23/$D23</f>
        <v>0</v>
      </c>
      <c r="L23" s="33"/>
      <c r="M23" s="33"/>
      <c r="N23" s="33"/>
      <c r="O23" s="33"/>
      <c r="P23" s="33"/>
      <c r="Q23" s="33"/>
      <c r="R23" s="33">
        <f>+'Seguim Proy inversión 2017'!T23</f>
        <v>1.0919019230769231</v>
      </c>
      <c r="S23" s="33">
        <v>0.05</v>
      </c>
      <c r="T23" s="178"/>
      <c r="U23" s="205"/>
    </row>
    <row r="24" spans="1:21" ht="12.75" customHeight="1">
      <c r="A24" s="178"/>
      <c r="B24" s="178"/>
      <c r="C24" s="7" t="s">
        <v>117</v>
      </c>
      <c r="D24" s="39">
        <v>10000</v>
      </c>
      <c r="E24" s="38" t="s">
        <v>118</v>
      </c>
      <c r="F24" s="33">
        <f>+'Seguim Proy inversión 2017'!F24/$D24</f>
        <v>5.6000000000000001E-2</v>
      </c>
      <c r="G24" s="33">
        <f>+'Seguim Proy inversión 2017'!G24/$D24</f>
        <v>1.7500000000000002E-2</v>
      </c>
      <c r="H24" s="33">
        <f>+'Seguim Proy inversión 2017'!H24/$D24</f>
        <v>4.9799999999999997E-2</v>
      </c>
      <c r="I24" s="33">
        <f>+'Seguim Proy inversión 2017'!I24/$D24</f>
        <v>6.5299999999999997E-2</v>
      </c>
      <c r="J24" s="33">
        <f>+'Seguim Proy inversión 2017'!J24/$D24</f>
        <v>3.0800000000000001E-2</v>
      </c>
      <c r="K24" s="33">
        <f>+'Seguim Proy inversión 2017'!K24/$D24</f>
        <v>0</v>
      </c>
      <c r="L24" s="33"/>
      <c r="M24" s="33"/>
      <c r="N24" s="33"/>
      <c r="O24" s="33"/>
      <c r="P24" s="33"/>
      <c r="Q24" s="33"/>
      <c r="R24" s="33">
        <f>+'Seguim Proy inversión 2017'!T24</f>
        <v>1.3483499999999999</v>
      </c>
      <c r="S24" s="33">
        <v>0.15</v>
      </c>
      <c r="T24" s="178"/>
      <c r="U24" s="205"/>
    </row>
    <row r="25" spans="1:21" ht="12.75" customHeight="1">
      <c r="A25" s="178"/>
      <c r="B25" s="178"/>
      <c r="C25" s="7" t="s">
        <v>110</v>
      </c>
      <c r="D25" s="37">
        <v>20</v>
      </c>
      <c r="E25" s="38" t="s">
        <v>119</v>
      </c>
      <c r="F25" s="33">
        <f>+'Seguim Proy inversión 2017'!F25/$D25</f>
        <v>0</v>
      </c>
      <c r="G25" s="33">
        <f>+'Seguim Proy inversión 2017'!G25/$D25</f>
        <v>0</v>
      </c>
      <c r="H25" s="33">
        <f>+'Seguim Proy inversión 2017'!H25/$D25</f>
        <v>0.5</v>
      </c>
      <c r="I25" s="33">
        <f>+'Seguim Proy inversión 2017'!I25/$D25</f>
        <v>1.65</v>
      </c>
      <c r="J25" s="33">
        <f>+'Seguim Proy inversión 2017'!J25/$D25</f>
        <v>6.15</v>
      </c>
      <c r="K25" s="33">
        <f>+'Seguim Proy inversión 2017'!K25/$D25</f>
        <v>0</v>
      </c>
      <c r="L25" s="33"/>
      <c r="M25" s="33"/>
      <c r="N25" s="33"/>
      <c r="O25" s="33"/>
      <c r="P25" s="33"/>
      <c r="Q25" s="33"/>
      <c r="R25" s="33">
        <f>+'Seguim Proy inversión 2017'!T25</f>
        <v>1.0390185036202735</v>
      </c>
      <c r="S25" s="33">
        <v>0.25</v>
      </c>
      <c r="T25" s="178"/>
      <c r="U25" s="205"/>
    </row>
    <row r="26" spans="1:21" ht="12.75" customHeight="1">
      <c r="A26" s="178"/>
      <c r="B26" s="178"/>
      <c r="C26" s="7" t="s">
        <v>120</v>
      </c>
      <c r="D26" s="40">
        <v>0.2</v>
      </c>
      <c r="E26" s="38" t="s">
        <v>121</v>
      </c>
      <c r="F26" s="33">
        <f>+'Seguim Proy inversión 2017'!F26/$D26</f>
        <v>0</v>
      </c>
      <c r="G26" s="33">
        <f>+'Seguim Proy inversión 2017'!G26/$D26</f>
        <v>0</v>
      </c>
      <c r="H26" s="33">
        <f>+'Seguim Proy inversión 2017'!H26/$D26</f>
        <v>0</v>
      </c>
      <c r="I26" s="33">
        <f>+'Seguim Proy inversión 2017'!I26/$D26</f>
        <v>0</v>
      </c>
      <c r="J26" s="33">
        <f>+'Seguim Proy inversión 2017'!J26/$D26</f>
        <v>0.3</v>
      </c>
      <c r="K26" s="33">
        <f>+'Seguim Proy inversión 2017'!K26/$D26</f>
        <v>0</v>
      </c>
      <c r="L26" s="33"/>
      <c r="M26" s="33"/>
      <c r="N26" s="33"/>
      <c r="O26" s="33"/>
      <c r="P26" s="33"/>
      <c r="Q26" s="33"/>
      <c r="R26" s="33">
        <f>+'Seguim Proy inversión 2017'!T26</f>
        <v>1.0437533333333333</v>
      </c>
      <c r="S26" s="33">
        <v>0.15</v>
      </c>
      <c r="T26" s="178"/>
      <c r="U26" s="205"/>
    </row>
    <row r="27" spans="1:21" ht="12.75" customHeight="1">
      <c r="A27" s="178"/>
      <c r="B27" s="178"/>
      <c r="C27" s="42" t="s">
        <v>122</v>
      </c>
      <c r="D27" s="37">
        <v>20930</v>
      </c>
      <c r="E27" s="38" t="s">
        <v>116</v>
      </c>
      <c r="F27" s="33">
        <f>+'Seguim Proy inversión 2017'!F27/$D27</f>
        <v>0.16211180124223604</v>
      </c>
      <c r="G27" s="33">
        <f>+'Seguim Proy inversión 2017'!G27/$D27</f>
        <v>0.13707596751075013</v>
      </c>
      <c r="H27" s="33">
        <f>+'Seguim Proy inversión 2017'!H27/$D27</f>
        <v>0.19632107023411371</v>
      </c>
      <c r="I27" s="33">
        <f>+'Seguim Proy inversión 2017'!I27/$D27</f>
        <v>0.81533683707596749</v>
      </c>
      <c r="J27" s="33">
        <f>+'Seguim Proy inversión 2017'!J27/$D27</f>
        <v>0.19221213569039655</v>
      </c>
      <c r="K27" s="33">
        <f>+'Seguim Proy inversión 2017'!K27/$D27</f>
        <v>0</v>
      </c>
      <c r="L27" s="33"/>
      <c r="M27" s="33"/>
      <c r="N27" s="33"/>
      <c r="O27" s="33"/>
      <c r="P27" s="33"/>
      <c r="Q27" s="33"/>
      <c r="R27" s="33">
        <f>+'Seguim Proy inversión 2017'!T27</f>
        <v>1.0347491749174917</v>
      </c>
      <c r="S27" s="33">
        <v>0.15</v>
      </c>
      <c r="T27" s="178"/>
      <c r="U27" s="205"/>
    </row>
    <row r="28" spans="1:21" ht="12.75" customHeight="1">
      <c r="A28" s="178"/>
      <c r="B28" s="178"/>
      <c r="C28" s="42" t="s">
        <v>123</v>
      </c>
      <c r="D28" s="39">
        <v>0</v>
      </c>
      <c r="E28" s="38" t="s">
        <v>124</v>
      </c>
      <c r="F28" s="33">
        <f>+'Seguim Proy inversión 2017'!F28</f>
        <v>0</v>
      </c>
      <c r="G28" s="33">
        <f>+'Seguim Proy inversión 2017'!G28</f>
        <v>0</v>
      </c>
      <c r="H28" s="33">
        <f>+'Seguim Proy inversión 2017'!H28</f>
        <v>0</v>
      </c>
      <c r="I28" s="33">
        <f>+'Seguim Proy inversión 2017'!I28</f>
        <v>0</v>
      </c>
      <c r="J28" s="33">
        <f>+'Seguim Proy inversión 2017'!J28</f>
        <v>0</v>
      </c>
      <c r="K28" s="33">
        <f>+'Seguim Proy inversión 2017'!K28</f>
        <v>0</v>
      </c>
      <c r="L28" s="33"/>
      <c r="M28" s="33"/>
      <c r="N28" s="33"/>
      <c r="O28" s="33"/>
      <c r="P28" s="33"/>
      <c r="Q28" s="33"/>
      <c r="R28" s="33">
        <v>0</v>
      </c>
      <c r="S28" s="33">
        <v>0</v>
      </c>
      <c r="T28" s="178"/>
      <c r="U28" s="205"/>
    </row>
    <row r="29" spans="1:21" ht="12.75" customHeight="1">
      <c r="A29" s="178"/>
      <c r="B29" s="178"/>
      <c r="C29" s="42" t="s">
        <v>164</v>
      </c>
      <c r="D29" s="39">
        <v>7</v>
      </c>
      <c r="E29" s="38" t="s">
        <v>126</v>
      </c>
      <c r="F29" s="33">
        <f>+'Seguim Proy inversión 2017'!F29/$D29</f>
        <v>0</v>
      </c>
      <c r="G29" s="33">
        <f>+'Seguim Proy inversión 2017'!G29/$D29</f>
        <v>0</v>
      </c>
      <c r="H29" s="33">
        <f>+'Seguim Proy inversión 2017'!H29/$D29</f>
        <v>0</v>
      </c>
      <c r="I29" s="33">
        <f>+'Seguim Proy inversión 2017'!I29/$D29</f>
        <v>0</v>
      </c>
      <c r="J29" s="33">
        <f>+'Seguim Proy inversión 2017'!J29/$D29</f>
        <v>0</v>
      </c>
      <c r="K29" s="33">
        <f>+'Seguim Proy inversión 2017'!K29/$D29</f>
        <v>0</v>
      </c>
      <c r="L29" s="33"/>
      <c r="M29" s="33"/>
      <c r="N29" s="33"/>
      <c r="O29" s="33"/>
      <c r="P29" s="33"/>
      <c r="Q29" s="33"/>
      <c r="R29" s="33">
        <f>+'Seguim Proy inversión 2017'!T29</f>
        <v>0.7142857142857143</v>
      </c>
      <c r="S29" s="33">
        <v>0.1</v>
      </c>
      <c r="T29" s="178"/>
      <c r="U29" s="205"/>
    </row>
    <row r="30" spans="1:21" ht="12.75" customHeight="1">
      <c r="A30" s="178"/>
      <c r="B30" s="178">
        <v>783</v>
      </c>
      <c r="C30" s="42" t="s">
        <v>127</v>
      </c>
      <c r="D30" s="37">
        <v>2</v>
      </c>
      <c r="E30" s="38" t="s">
        <v>128</v>
      </c>
      <c r="F30" s="33">
        <f>+'Seguim Proy inversión 2017'!F30/$D30</f>
        <v>1</v>
      </c>
      <c r="G30" s="33">
        <f>+'Seguim Proy inversión 2017'!G30/$D30</f>
        <v>1</v>
      </c>
      <c r="H30" s="33">
        <f>+'Seguim Proy inversión 2017'!H30/$D30</f>
        <v>1</v>
      </c>
      <c r="I30" s="33">
        <f>+'Seguim Proy inversión 2017'!I30/$D30</f>
        <v>1</v>
      </c>
      <c r="J30" s="33">
        <f>+'Seguim Proy inversión 2017'!J30/$D30</f>
        <v>1</v>
      </c>
      <c r="K30" s="33">
        <f>+'Seguim Proy inversión 2017'!K30/$D30</f>
        <v>0</v>
      </c>
      <c r="L30" s="33"/>
      <c r="M30" s="33"/>
      <c r="N30" s="33"/>
      <c r="O30" s="33"/>
      <c r="P30" s="33"/>
      <c r="Q30" s="33"/>
      <c r="R30" s="33">
        <f>+'Seguim Proy inversión 2017'!R30/$D30</f>
        <v>1</v>
      </c>
      <c r="S30" s="33">
        <v>0.2</v>
      </c>
      <c r="T30" s="178">
        <v>783</v>
      </c>
      <c r="U30" s="205">
        <f>+R30*S30+R31*S31+R32*S32+R33*S33+R34*S34</f>
        <v>1.2612650357142858</v>
      </c>
    </row>
    <row r="31" spans="1:21" ht="12.75" customHeight="1">
      <c r="A31" s="178"/>
      <c r="B31" s="178"/>
      <c r="C31" s="7" t="s">
        <v>129</v>
      </c>
      <c r="D31" s="43">
        <v>0.4</v>
      </c>
      <c r="E31" s="38" t="s">
        <v>130</v>
      </c>
      <c r="F31" s="33">
        <f>+'Seguim Proy inversión 2017'!F31/$D31</f>
        <v>0</v>
      </c>
      <c r="G31" s="33">
        <f>+'Seguim Proy inversión 2017'!G31/$D31</f>
        <v>0</v>
      </c>
      <c r="H31" s="33">
        <f>+'Seguim Proy inversión 2017'!H31/$D31</f>
        <v>0</v>
      </c>
      <c r="I31" s="33">
        <f>+'Seguim Proy inversión 2017'!I31/$D31</f>
        <v>0</v>
      </c>
      <c r="J31" s="33">
        <f>+'Seguim Proy inversión 2017'!J31/$D31</f>
        <v>1.0389999999999999</v>
      </c>
      <c r="K31" s="33">
        <f>+'Seguim Proy inversión 2017'!K31/$D31</f>
        <v>0</v>
      </c>
      <c r="L31" s="33"/>
      <c r="M31" s="33"/>
      <c r="N31" s="33"/>
      <c r="O31" s="33"/>
      <c r="P31" s="33"/>
      <c r="Q31" s="33"/>
      <c r="R31" s="33">
        <f>+'Seguim Proy inversión 2017'!R31/$D31</f>
        <v>1.0389999999999999</v>
      </c>
      <c r="S31" s="33">
        <v>0.1</v>
      </c>
      <c r="T31" s="178"/>
      <c r="U31" s="205"/>
    </row>
    <row r="32" spans="1:21" ht="12.75" customHeight="1">
      <c r="A32" s="178"/>
      <c r="B32" s="178"/>
      <c r="C32" s="42" t="s">
        <v>131</v>
      </c>
      <c r="D32" s="37">
        <v>300000</v>
      </c>
      <c r="E32" s="38" t="s">
        <v>116</v>
      </c>
      <c r="F32" s="33">
        <f>+'Seguim Proy inversión 2017'!F32/$D32</f>
        <v>0.10835333333333333</v>
      </c>
      <c r="G32" s="33">
        <f>+'Seguim Proy inversión 2017'!G32/$D32</f>
        <v>5.3870000000000001E-2</v>
      </c>
      <c r="H32" s="33">
        <f>+'Seguim Proy inversión 2017'!H32/$D32</f>
        <v>0.13005</v>
      </c>
      <c r="I32" s="33">
        <f>+'Seguim Proy inversión 2017'!I32/$D32</f>
        <v>7.9913333333333336E-2</v>
      </c>
      <c r="J32" s="33">
        <f>+'Seguim Proy inversión 2017'!J32/$D32</f>
        <v>0.10621333333333334</v>
      </c>
      <c r="K32" s="33">
        <f>+'Seguim Proy inversión 2017'!K32/$D32</f>
        <v>0</v>
      </c>
      <c r="L32" s="33"/>
      <c r="M32" s="33"/>
      <c r="N32" s="33"/>
      <c r="O32" s="33"/>
      <c r="P32" s="33"/>
      <c r="Q32" s="33"/>
      <c r="R32" s="33">
        <f>+'Seguim Proy inversión 2017'!T32</f>
        <v>1.1481600000000001</v>
      </c>
      <c r="S32" s="33">
        <v>0.2</v>
      </c>
      <c r="T32" s="178"/>
      <c r="U32" s="205"/>
    </row>
    <row r="33" spans="1:21" ht="12.75" customHeight="1">
      <c r="A33" s="178"/>
      <c r="B33" s="178"/>
      <c r="C33" s="42" t="s">
        <v>165</v>
      </c>
      <c r="D33" s="37">
        <v>280000</v>
      </c>
      <c r="E33" s="38" t="s">
        <v>116</v>
      </c>
      <c r="F33" s="33">
        <f>+'Seguim Proy inversión 2017'!F33/$D33</f>
        <v>8.3071428571428567E-3</v>
      </c>
      <c r="G33" s="33">
        <f>+'Seguim Proy inversión 2017'!G33/$D33</f>
        <v>2.3364285714285716E-2</v>
      </c>
      <c r="H33" s="33">
        <f>+'Seguim Proy inversión 2017'!H33/$D33</f>
        <v>0.15634285714285714</v>
      </c>
      <c r="I33" s="33">
        <f>+'Seguim Proy inversión 2017'!I33/$D33</f>
        <v>0.15179999999999999</v>
      </c>
      <c r="J33" s="33">
        <f>+'Seguim Proy inversión 2017'!J33/$D33</f>
        <v>0.12120357142857142</v>
      </c>
      <c r="K33" s="33">
        <f>+'Seguim Proy inversión 2017'!K33/$D33</f>
        <v>0</v>
      </c>
      <c r="L33" s="33"/>
      <c r="M33" s="33"/>
      <c r="N33" s="33"/>
      <c r="O33" s="33"/>
      <c r="P33" s="33"/>
      <c r="Q33" s="33"/>
      <c r="R33" s="33">
        <f>+'Seguim Proy inversión 2017'!T33</f>
        <v>1.6282321428571429</v>
      </c>
      <c r="S33" s="33">
        <v>0.25</v>
      </c>
      <c r="T33" s="178"/>
      <c r="U33" s="205"/>
    </row>
    <row r="34" spans="1:21" ht="12.75" customHeight="1">
      <c r="A34" s="178"/>
      <c r="B34" s="178"/>
      <c r="C34" s="7" t="s">
        <v>117</v>
      </c>
      <c r="D34" s="37">
        <v>2500</v>
      </c>
      <c r="E34" s="38" t="s">
        <v>133</v>
      </c>
      <c r="F34" s="33">
        <f>+'Seguim Proy inversión 2017'!F34/$D34</f>
        <v>9.64E-2</v>
      </c>
      <c r="G34" s="33">
        <f>+'Seguim Proy inversión 2017'!G34/$D34</f>
        <v>0.15759999999999999</v>
      </c>
      <c r="H34" s="33">
        <f>+'Seguim Proy inversión 2017'!H34/$D34</f>
        <v>0.2084</v>
      </c>
      <c r="I34" s="33">
        <f>+'Seguim Proy inversión 2017'!I34/$D34</f>
        <v>0.22559999999999999</v>
      </c>
      <c r="J34" s="33">
        <f>+'Seguim Proy inversión 2017'!J34/$D34</f>
        <v>0.4204</v>
      </c>
      <c r="K34" s="33">
        <f>+'Seguim Proy inversión 2017'!K34/$D34</f>
        <v>0</v>
      </c>
      <c r="L34" s="33"/>
      <c r="M34" s="33"/>
      <c r="N34" s="33"/>
      <c r="O34" s="33"/>
      <c r="P34" s="33"/>
      <c r="Q34" s="33"/>
      <c r="R34" s="33">
        <f>+'Seguim Proy inversión 2017'!T34</f>
        <v>1.2827</v>
      </c>
      <c r="S34" s="33">
        <v>0.25</v>
      </c>
      <c r="T34" s="178"/>
      <c r="U34" s="205"/>
    </row>
    <row r="35" spans="1:21" ht="12.75" customHeight="1">
      <c r="A35" s="178"/>
      <c r="B35" s="178">
        <v>792</v>
      </c>
      <c r="C35" s="7" t="s">
        <v>134</v>
      </c>
      <c r="D35" s="39">
        <v>8</v>
      </c>
      <c r="E35" s="38" t="s">
        <v>135</v>
      </c>
      <c r="F35" s="33">
        <f>+'Seguim Proy inversión 2017'!F35/$D35</f>
        <v>1</v>
      </c>
      <c r="G35" s="33">
        <f>+'Seguim Proy inversión 2017'!G35/$D35</f>
        <v>1</v>
      </c>
      <c r="H35" s="33">
        <f>+'Seguim Proy inversión 2017'!H35/$D35</f>
        <v>1</v>
      </c>
      <c r="I35" s="33">
        <f>+'Seguim Proy inversión 2017'!I35/$D35</f>
        <v>1</v>
      </c>
      <c r="J35" s="33">
        <f>+'Seguim Proy inversión 2017'!J35/$D35</f>
        <v>1</v>
      </c>
      <c r="K35" s="33">
        <f>+'Seguim Proy inversión 2017'!K35/$D35</f>
        <v>0</v>
      </c>
      <c r="L35" s="33"/>
      <c r="M35" s="33"/>
      <c r="N35" s="33"/>
      <c r="O35" s="33"/>
      <c r="P35" s="33"/>
      <c r="Q35" s="33"/>
      <c r="R35" s="33">
        <f>+'Seguim Proy inversión 2017'!R35/$D35</f>
        <v>1</v>
      </c>
      <c r="S35" s="33">
        <v>0.30000000000000004</v>
      </c>
      <c r="T35" s="178">
        <v>792</v>
      </c>
      <c r="U35" s="205">
        <f>+R35*S35+R36*S36+R37*S37+R38*S38</f>
        <v>0.67600000000000005</v>
      </c>
    </row>
    <row r="36" spans="1:21" ht="12.75" customHeight="1">
      <c r="A36" s="178"/>
      <c r="B36" s="178"/>
      <c r="C36" s="7" t="s">
        <v>134</v>
      </c>
      <c r="D36" s="39">
        <v>2</v>
      </c>
      <c r="E36" s="38" t="s">
        <v>136</v>
      </c>
      <c r="F36" s="33">
        <f>+'Seguim Proy inversión 2017'!F36/$D36</f>
        <v>1</v>
      </c>
      <c r="G36" s="33">
        <f>+'Seguim Proy inversión 2017'!G36/$D36</f>
        <v>1</v>
      </c>
      <c r="H36" s="33">
        <f>+'Seguim Proy inversión 2017'!H36/$D36</f>
        <v>1</v>
      </c>
      <c r="I36" s="33">
        <f>+'Seguim Proy inversión 2017'!I36/$D36</f>
        <v>1</v>
      </c>
      <c r="J36" s="33">
        <f>+'Seguim Proy inversión 2017'!J36/$D36</f>
        <v>1</v>
      </c>
      <c r="K36" s="33">
        <f>+'Seguim Proy inversión 2017'!K36/$D36</f>
        <v>0</v>
      </c>
      <c r="L36" s="33"/>
      <c r="M36" s="33"/>
      <c r="N36" s="33"/>
      <c r="O36" s="33"/>
      <c r="P36" s="33"/>
      <c r="Q36" s="33"/>
      <c r="R36" s="33">
        <f>+'Seguim Proy inversión 2017'!R36/$D36</f>
        <v>1</v>
      </c>
      <c r="S36" s="33">
        <v>0.2</v>
      </c>
      <c r="T36" s="178"/>
      <c r="U36" s="205"/>
    </row>
    <row r="37" spans="1:21" ht="12.75" customHeight="1">
      <c r="A37" s="178"/>
      <c r="B37" s="178"/>
      <c r="C37" s="7" t="s">
        <v>137</v>
      </c>
      <c r="D37" s="43">
        <v>1</v>
      </c>
      <c r="E37" s="38" t="s">
        <v>138</v>
      </c>
      <c r="F37" s="33">
        <f>+'Seguim Proy inversión 2017'!F37/$D37</f>
        <v>0</v>
      </c>
      <c r="G37" s="33">
        <f>+'Seguim Proy inversión 2017'!G37/$D37</f>
        <v>0</v>
      </c>
      <c r="H37" s="33">
        <f>+'Seguim Proy inversión 2017'!H37/$D37</f>
        <v>0</v>
      </c>
      <c r="I37" s="33">
        <f>+'Seguim Proy inversión 2017'!I37/$D37</f>
        <v>0</v>
      </c>
      <c r="J37" s="33">
        <f>+'Seguim Proy inversión 2017'!J37/$D37</f>
        <v>0.34</v>
      </c>
      <c r="K37" s="33">
        <f>+'Seguim Proy inversión 2017'!K37/$D37</f>
        <v>0</v>
      </c>
      <c r="L37" s="33"/>
      <c r="M37" s="33"/>
      <c r="N37" s="33"/>
      <c r="O37" s="33"/>
      <c r="P37" s="33"/>
      <c r="Q37" s="33"/>
      <c r="R37" s="33">
        <f>+'Seguim Proy inversión 2017'!R37/$D37</f>
        <v>0.34</v>
      </c>
      <c r="S37" s="33">
        <v>0.4</v>
      </c>
      <c r="T37" s="178"/>
      <c r="U37" s="205"/>
    </row>
    <row r="38" spans="1:21" ht="12.75" customHeight="1">
      <c r="A38" s="178"/>
      <c r="B38" s="178"/>
      <c r="C38" s="42" t="s">
        <v>139</v>
      </c>
      <c r="D38" s="39">
        <v>1</v>
      </c>
      <c r="E38" s="38" t="s">
        <v>140</v>
      </c>
      <c r="F38" s="33">
        <f>+'Seguim Proy inversión 2017'!F38/$D38</f>
        <v>0</v>
      </c>
      <c r="G38" s="33">
        <f>+'Seguim Proy inversión 2017'!G38/$D38</f>
        <v>0</v>
      </c>
      <c r="H38" s="33">
        <f>+'Seguim Proy inversión 2017'!H38/$D38</f>
        <v>0</v>
      </c>
      <c r="I38" s="33">
        <f>+'Seguim Proy inversión 2017'!I38/$D38</f>
        <v>0</v>
      </c>
      <c r="J38" s="33">
        <f>+'Seguim Proy inversión 2017'!J38/$D38</f>
        <v>0.4</v>
      </c>
      <c r="K38" s="33">
        <f>+'Seguim Proy inversión 2017'!K38/$D38</f>
        <v>0</v>
      </c>
      <c r="L38" s="33"/>
      <c r="M38" s="33"/>
      <c r="N38" s="33"/>
      <c r="O38" s="33"/>
      <c r="P38" s="33"/>
      <c r="Q38" s="33"/>
      <c r="R38" s="33">
        <f>+'Seguim Proy inversión 2017'!R38/$D38</f>
        <v>0.4</v>
      </c>
      <c r="S38" s="33">
        <v>0.1</v>
      </c>
      <c r="T38" s="178"/>
      <c r="U38" s="205"/>
    </row>
    <row r="39" spans="1:21" ht="12.75" customHeight="1">
      <c r="A39" s="178"/>
      <c r="B39" s="7">
        <v>787</v>
      </c>
      <c r="C39" s="7" t="s">
        <v>141</v>
      </c>
      <c r="D39" s="39">
        <v>1</v>
      </c>
      <c r="E39" s="38" t="s">
        <v>142</v>
      </c>
      <c r="F39" s="33">
        <v>0</v>
      </c>
      <c r="G39" s="33">
        <v>0</v>
      </c>
      <c r="H39" s="33">
        <v>0</v>
      </c>
      <c r="I39" s="33">
        <v>0</v>
      </c>
      <c r="J39" s="33">
        <v>0</v>
      </c>
      <c r="K39" s="33">
        <v>0</v>
      </c>
      <c r="L39" s="33"/>
      <c r="M39" s="33"/>
      <c r="N39" s="33"/>
      <c r="O39" s="33"/>
      <c r="P39" s="33"/>
      <c r="Q39" s="33"/>
      <c r="R39" s="33">
        <f>+'Seguim Proy inversión 2017'!T39</f>
        <v>0.83333333333333337</v>
      </c>
      <c r="S39" s="47">
        <v>1</v>
      </c>
      <c r="T39" s="7">
        <v>787</v>
      </c>
      <c r="U39" s="47">
        <f>+R39*S39</f>
        <v>0.83333333333333337</v>
      </c>
    </row>
    <row r="40" spans="1:21" ht="12.75" customHeight="1">
      <c r="A40" s="178"/>
      <c r="B40" s="178">
        <v>944</v>
      </c>
      <c r="C40" s="7" t="s">
        <v>143</v>
      </c>
      <c r="D40" s="39">
        <v>6</v>
      </c>
      <c r="E40" s="38" t="s">
        <v>144</v>
      </c>
      <c r="F40" s="33">
        <f>+'Seguim Proy inversión 2017'!F40/$D40</f>
        <v>0</v>
      </c>
      <c r="G40" s="33">
        <f>+'Seguim Proy inversión 2017'!G40/$D40</f>
        <v>0</v>
      </c>
      <c r="H40" s="33">
        <f>+'Seguim Proy inversión 2017'!H40/$D40</f>
        <v>0</v>
      </c>
      <c r="I40" s="33">
        <f>+'Seguim Proy inversión 2017'!I40/$D40</f>
        <v>0.5</v>
      </c>
      <c r="J40" s="33">
        <f>+'Seguim Proy inversión 2017'!J40/$D40</f>
        <v>0.5</v>
      </c>
      <c r="K40" s="33">
        <f>+'Seguim Proy inversión 2017'!K40/$D40</f>
        <v>0</v>
      </c>
      <c r="L40" s="33"/>
      <c r="M40" s="33"/>
      <c r="N40" s="33"/>
      <c r="O40" s="33"/>
      <c r="P40" s="33"/>
      <c r="Q40" s="33"/>
      <c r="R40" s="33">
        <f>+'Seguim Proy inversión 2017'!R40/$D40</f>
        <v>1</v>
      </c>
      <c r="S40" s="47">
        <v>1</v>
      </c>
      <c r="T40" s="178">
        <v>944</v>
      </c>
      <c r="U40" s="205">
        <f>+R40*S40</f>
        <v>1</v>
      </c>
    </row>
    <row r="41" spans="1:21" ht="12.75" customHeight="1">
      <c r="A41" s="178"/>
      <c r="B41" s="178"/>
      <c r="C41" s="7" t="s">
        <v>145</v>
      </c>
      <c r="D41" s="37">
        <v>2800</v>
      </c>
      <c r="E41" s="38" t="s">
        <v>116</v>
      </c>
      <c r="F41" s="33">
        <f>+'Seguim Proy inversión 2017'!F41/$D41</f>
        <v>0</v>
      </c>
      <c r="G41" s="33">
        <f>+'Seguim Proy inversión 2017'!G41/$D41</f>
        <v>0</v>
      </c>
      <c r="H41" s="33">
        <f>+'Seguim Proy inversión 2017'!H41/$D41</f>
        <v>0</v>
      </c>
      <c r="I41" s="33">
        <f>+'Seguim Proy inversión 2017'!I41/$D41</f>
        <v>0</v>
      </c>
      <c r="J41" s="33">
        <f>+'Seguim Proy inversión 2017'!J41/$D41</f>
        <v>0</v>
      </c>
      <c r="K41" s="33">
        <f>+'Seguim Proy inversión 2017'!K41/$D41</f>
        <v>0</v>
      </c>
      <c r="L41" s="33"/>
      <c r="M41" s="33"/>
      <c r="N41" s="33"/>
      <c r="O41" s="33"/>
      <c r="P41" s="33"/>
      <c r="Q41" s="33"/>
      <c r="R41" s="33">
        <f>+'Seguim Proy inversión 2017'!R41/$D41</f>
        <v>0</v>
      </c>
      <c r="S41" s="33"/>
      <c r="T41" s="178"/>
      <c r="U41" s="205"/>
    </row>
    <row r="42" spans="1:21" ht="12.75" customHeight="1">
      <c r="A42" s="178"/>
      <c r="B42" s="178"/>
      <c r="C42" s="7" t="s">
        <v>147</v>
      </c>
      <c r="D42" s="39">
        <v>1</v>
      </c>
      <c r="E42" s="38" t="s">
        <v>148</v>
      </c>
      <c r="F42" s="33">
        <f>+'Seguim Proy inversión 2017'!F42/$D42</f>
        <v>0</v>
      </c>
      <c r="G42" s="33">
        <f>+'Seguim Proy inversión 2017'!G42/$D42</f>
        <v>0</v>
      </c>
      <c r="H42" s="33">
        <f>+'Seguim Proy inversión 2017'!H42/$D42</f>
        <v>0</v>
      </c>
      <c r="I42" s="33">
        <f>+'Seguim Proy inversión 2017'!I42/$D42</f>
        <v>0</v>
      </c>
      <c r="J42" s="33">
        <f>+'Seguim Proy inversión 2017'!J42/$D42</f>
        <v>0</v>
      </c>
      <c r="K42" s="33">
        <f>+'Seguim Proy inversión 2017'!K42/$D42</f>
        <v>0</v>
      </c>
      <c r="L42" s="33"/>
      <c r="M42" s="33"/>
      <c r="N42" s="33"/>
      <c r="O42" s="33"/>
      <c r="P42" s="33"/>
      <c r="Q42" s="33"/>
      <c r="R42" s="33">
        <f>+'Seguim Proy inversión 2017'!R42/$D42</f>
        <v>0</v>
      </c>
      <c r="S42" s="33"/>
      <c r="T42" s="178"/>
      <c r="U42" s="205"/>
    </row>
    <row r="43" spans="1:21" ht="12.75" customHeight="1">
      <c r="A43" s="178"/>
      <c r="B43" s="178">
        <v>784</v>
      </c>
      <c r="C43" s="7" t="s">
        <v>149</v>
      </c>
      <c r="D43" s="39">
        <v>1</v>
      </c>
      <c r="E43" s="38" t="s">
        <v>150</v>
      </c>
      <c r="F43" s="33">
        <f>+'Seguim Proy inversión 2017'!F43/$D43</f>
        <v>1</v>
      </c>
      <c r="G43" s="33">
        <f>+'Seguim Proy inversión 2017'!G43/$D43</f>
        <v>1</v>
      </c>
      <c r="H43" s="33">
        <f>+'Seguim Proy inversión 2017'!H43/$D43</f>
        <v>1</v>
      </c>
      <c r="I43" s="33">
        <f>+'Seguim Proy inversión 2017'!I43/$D43</f>
        <v>1</v>
      </c>
      <c r="J43" s="33">
        <f>+'Seguim Proy inversión 2017'!J43/$D43</f>
        <v>1</v>
      </c>
      <c r="K43" s="33">
        <f>+'Seguim Proy inversión 2017'!K43/$D43</f>
        <v>0</v>
      </c>
      <c r="L43" s="33"/>
      <c r="M43" s="33"/>
      <c r="N43" s="33"/>
      <c r="O43" s="33"/>
      <c r="P43" s="33"/>
      <c r="Q43" s="33"/>
      <c r="R43" s="33">
        <f>+'Seguim Proy inversión 2017'!R43/$D43</f>
        <v>1</v>
      </c>
      <c r="S43" s="33">
        <v>0.30000000000000004</v>
      </c>
      <c r="T43" s="178">
        <v>784</v>
      </c>
      <c r="U43" s="205">
        <f>+R43*S43+R44*S44+R45*S45</f>
        <v>0.88600000000000012</v>
      </c>
    </row>
    <row r="44" spans="1:21" ht="12.75" customHeight="1">
      <c r="A44" s="178"/>
      <c r="B44" s="178"/>
      <c r="C44" s="7" t="s">
        <v>151</v>
      </c>
      <c r="D44" s="37">
        <v>2</v>
      </c>
      <c r="E44" s="38" t="s">
        <v>152</v>
      </c>
      <c r="F44" s="33">
        <f>+'Seguim Proy inversión 2017'!F44/$D44</f>
        <v>1</v>
      </c>
      <c r="G44" s="33">
        <f>+'Seguim Proy inversión 2017'!G44/$D44</f>
        <v>1</v>
      </c>
      <c r="H44" s="33">
        <f>+'Seguim Proy inversión 2017'!H44/$D44</f>
        <v>1</v>
      </c>
      <c r="I44" s="33">
        <f>+'Seguim Proy inversión 2017'!I44/$D44</f>
        <v>1</v>
      </c>
      <c r="J44" s="33">
        <f>+'Seguim Proy inversión 2017'!J44/$D44</f>
        <v>1</v>
      </c>
      <c r="K44" s="33">
        <f>+'Seguim Proy inversión 2017'!K44/$D44</f>
        <v>0</v>
      </c>
      <c r="L44" s="33"/>
      <c r="M44" s="33"/>
      <c r="N44" s="33"/>
      <c r="O44" s="33"/>
      <c r="P44" s="33"/>
      <c r="Q44" s="33"/>
      <c r="R44" s="33">
        <f>+'Seguim Proy inversión 2017'!R44/$D44</f>
        <v>1</v>
      </c>
      <c r="S44" s="33">
        <v>0.1</v>
      </c>
      <c r="T44" s="178"/>
      <c r="U44" s="205"/>
    </row>
    <row r="45" spans="1:21" ht="12.75" customHeight="1">
      <c r="A45" s="178"/>
      <c r="B45" s="178"/>
      <c r="C45" s="7" t="s">
        <v>153</v>
      </c>
      <c r="D45" s="43">
        <v>1</v>
      </c>
      <c r="E45" s="38" t="s">
        <v>154</v>
      </c>
      <c r="F45" s="33">
        <f>+'Seguim Proy inversión 2017'!F45/$D45</f>
        <v>0</v>
      </c>
      <c r="G45" s="33">
        <f>+'Seguim Proy inversión 2017'!G45/$D45</f>
        <v>0</v>
      </c>
      <c r="H45" s="33">
        <f>+'Seguim Proy inversión 2017'!H45/$D45</f>
        <v>0.78</v>
      </c>
      <c r="I45" s="33">
        <f>+'Seguim Proy inversión 2017'!I45/$D45</f>
        <v>0.78</v>
      </c>
      <c r="J45" s="33">
        <f>+'Seguim Proy inversión 2017'!J45/$D45</f>
        <v>0.81</v>
      </c>
      <c r="K45" s="33">
        <f>+'Seguim Proy inversión 2017'!K45/$D45</f>
        <v>0</v>
      </c>
      <c r="L45" s="33"/>
      <c r="M45" s="33"/>
      <c r="N45" s="33"/>
      <c r="O45" s="33"/>
      <c r="P45" s="33"/>
      <c r="Q45" s="33"/>
      <c r="R45" s="33">
        <f>+'Seguim Proy inversión 2017'!R45/$D45</f>
        <v>0.81</v>
      </c>
      <c r="S45" s="33">
        <v>0.60000000000000009</v>
      </c>
      <c r="T45" s="178"/>
      <c r="U45" s="205"/>
    </row>
    <row r="46" spans="1:21" ht="12.75" customHeight="1">
      <c r="A46" s="178"/>
      <c r="B46" s="178">
        <v>794</v>
      </c>
      <c r="C46" s="7" t="s">
        <v>113</v>
      </c>
      <c r="D46" s="37">
        <v>1000000</v>
      </c>
      <c r="E46" s="38" t="s">
        <v>155</v>
      </c>
      <c r="F46" s="33">
        <f>+'Seguim Proy inversión 2017'!F46/$D46</f>
        <v>1.3777710000000001</v>
      </c>
      <c r="G46" s="33">
        <f>+'Seguim Proy inversión 2017'!G46/$D46</f>
        <v>1.4192629999999999</v>
      </c>
      <c r="H46" s="33">
        <f>+'Seguim Proy inversión 2017'!H46/$D46</f>
        <v>1.445252</v>
      </c>
      <c r="I46" s="33">
        <f>+'Seguim Proy inversión 2017'!I46/$D46</f>
        <v>1.4453320000000001</v>
      </c>
      <c r="J46" s="33">
        <f>+'Seguim Proy inversión 2017'!J46/$D46</f>
        <v>1.5052030000000001</v>
      </c>
      <c r="K46" s="33">
        <f>+'Seguim Proy inversión 2017'!K46/$D46</f>
        <v>0</v>
      </c>
      <c r="L46" s="33"/>
      <c r="M46" s="33"/>
      <c r="N46" s="33"/>
      <c r="O46" s="33"/>
      <c r="P46" s="33"/>
      <c r="Q46" s="33"/>
      <c r="R46" s="33">
        <f>+'Seguim Proy inversión 2017'!T46</f>
        <v>1.1209039999999999</v>
      </c>
      <c r="S46" s="33">
        <v>0.2</v>
      </c>
      <c r="T46" s="178">
        <v>794</v>
      </c>
      <c r="U46" s="205">
        <f>+R46*S46+R47*S47+R48*S48</f>
        <v>1.1723808000000002</v>
      </c>
    </row>
    <row r="47" spans="1:21" ht="12.75" customHeight="1">
      <c r="A47" s="178"/>
      <c r="B47" s="178"/>
      <c r="C47" s="7" t="s">
        <v>113</v>
      </c>
      <c r="D47" s="37">
        <v>3000</v>
      </c>
      <c r="E47" s="38" t="s">
        <v>156</v>
      </c>
      <c r="F47" s="33">
        <f>+'Seguim Proy inversión 2017'!F47/$D47</f>
        <v>2.3333333333333335E-3</v>
      </c>
      <c r="G47" s="33">
        <f>+'Seguim Proy inversión 2017'!G47/$D47</f>
        <v>2.6666666666666668E-2</v>
      </c>
      <c r="H47" s="33">
        <f>+'Seguim Proy inversión 2017'!H47/$D47</f>
        <v>1.2333333333333333E-2</v>
      </c>
      <c r="I47" s="33">
        <f>+'Seguim Proy inversión 2017'!I47/$D47</f>
        <v>5.5333333333333332E-2</v>
      </c>
      <c r="J47" s="33">
        <f>+'Seguim Proy inversión 2017'!J47/$D47</f>
        <v>6.3333333333333339E-2</v>
      </c>
      <c r="K47" s="33">
        <f>+'Seguim Proy inversión 2017'!K47/$D47</f>
        <v>0</v>
      </c>
      <c r="L47" s="33"/>
      <c r="M47" s="33"/>
      <c r="N47" s="33"/>
      <c r="O47" s="33"/>
      <c r="P47" s="33"/>
      <c r="Q47" s="33"/>
      <c r="R47" s="33">
        <f>+'Seguim Proy inversión 2017'!T47</f>
        <v>1.2470000000000001</v>
      </c>
      <c r="S47" s="33">
        <v>0.60000000000000009</v>
      </c>
      <c r="T47" s="178"/>
      <c r="U47" s="205"/>
    </row>
    <row r="48" spans="1:21" ht="12.75" customHeight="1">
      <c r="A48" s="178"/>
      <c r="B48" s="178"/>
      <c r="C48" s="7" t="s">
        <v>157</v>
      </c>
      <c r="D48" s="37">
        <v>1</v>
      </c>
      <c r="E48" s="38" t="s">
        <v>158</v>
      </c>
      <c r="F48" s="33">
        <f>+'Seguim Proy inversión 2017'!F48/$D48</f>
        <v>1</v>
      </c>
      <c r="G48" s="33">
        <f>+'Seguim Proy inversión 2017'!G48/$D48</f>
        <v>1</v>
      </c>
      <c r="H48" s="33">
        <f>+'Seguim Proy inversión 2017'!H48/$D48</f>
        <v>1</v>
      </c>
      <c r="I48" s="33">
        <f>+'Seguim Proy inversión 2017'!I48/$D48</f>
        <v>1</v>
      </c>
      <c r="J48" s="33">
        <f>+'Seguim Proy inversión 2017'!J48/$D48</f>
        <v>1</v>
      </c>
      <c r="K48" s="33">
        <f>+'Seguim Proy inversión 2017'!K48/$D48</f>
        <v>0</v>
      </c>
      <c r="L48" s="33"/>
      <c r="M48" s="33"/>
      <c r="N48" s="33"/>
      <c r="O48" s="33"/>
      <c r="P48" s="33"/>
      <c r="Q48" s="33"/>
      <c r="R48" s="33">
        <f>+'Seguim Proy inversión 2017'!R48/$D48</f>
        <v>1</v>
      </c>
      <c r="S48" s="33">
        <v>0.2</v>
      </c>
      <c r="T48" s="178"/>
      <c r="U48" s="205"/>
    </row>
    <row r="49" spans="1:21" ht="12.75" customHeight="1">
      <c r="A49" s="178"/>
      <c r="B49" s="178" t="s">
        <v>166</v>
      </c>
      <c r="C49" s="178"/>
      <c r="D49" s="178"/>
      <c r="E49" s="178"/>
      <c r="F49" s="45">
        <f t="shared" ref="F49:K49" si="0">SUM(F15:F48)/34</f>
        <v>0.26853568979033265</v>
      </c>
      <c r="G49" s="45">
        <f t="shared" si="0"/>
        <v>0.27696602696823358</v>
      </c>
      <c r="H49" s="45">
        <f t="shared" si="0"/>
        <v>0.36989659176067535</v>
      </c>
      <c r="I49" s="45">
        <f t="shared" si="0"/>
        <v>0.43729619838902978</v>
      </c>
      <c r="J49" s="45">
        <f t="shared" si="0"/>
        <v>0.61353805191997979</v>
      </c>
      <c r="K49" s="45">
        <f t="shared" si="0"/>
        <v>0</v>
      </c>
      <c r="L49" s="45"/>
      <c r="M49" s="45"/>
      <c r="N49" s="45"/>
      <c r="O49" s="45"/>
      <c r="P49" s="45"/>
      <c r="Q49" s="45"/>
      <c r="R49" s="49">
        <f>SUM(R15:R48)/34</f>
        <v>0.86930084847726241</v>
      </c>
      <c r="S49" s="49"/>
      <c r="T49" s="207">
        <f>+SUM(U15:U48)/10</f>
        <v>0.9205150443081459</v>
      </c>
      <c r="U49" s="207"/>
    </row>
    <row r="50" spans="1:21" ht="12.75" customHeight="1">
      <c r="A50" s="178"/>
      <c r="B50" s="178" t="s">
        <v>160</v>
      </c>
      <c r="C50" s="178"/>
      <c r="D50" s="178"/>
      <c r="E50" s="178"/>
      <c r="F50" s="45">
        <f>+F49</f>
        <v>0.26853568979033265</v>
      </c>
      <c r="G50" s="45">
        <f>+F49+G49</f>
        <v>0.54550171675856629</v>
      </c>
      <c r="H50" s="45">
        <f>+G49+H49</f>
        <v>0.64686261872890893</v>
      </c>
      <c r="I50" s="45">
        <f>+H49+I49</f>
        <v>0.80719279014970513</v>
      </c>
      <c r="J50" s="45">
        <f>+I49+J49</f>
        <v>1.0508342503090096</v>
      </c>
      <c r="K50" s="45">
        <f>+J49+K49</f>
        <v>0.61353805191997979</v>
      </c>
      <c r="L50" s="45"/>
      <c r="M50" s="45"/>
      <c r="N50" s="45"/>
      <c r="O50" s="45"/>
      <c r="P50" s="45"/>
      <c r="Q50" s="45"/>
      <c r="R50" s="45">
        <f>+R49-Q49</f>
        <v>0.86930084847726241</v>
      </c>
      <c r="S50" s="45"/>
      <c r="T50" s="207">
        <f>+R50</f>
        <v>0.86930084847726241</v>
      </c>
      <c r="U50" s="207"/>
    </row>
    <row r="51" spans="1:21" s="15" customFormat="1" ht="12.75" customHeight="1">
      <c r="A51" s="13"/>
      <c r="B51" s="13"/>
      <c r="C51" s="13"/>
      <c r="D51" s="13"/>
      <c r="E51" s="13"/>
      <c r="F51" s="14">
        <v>0.8</v>
      </c>
      <c r="G51" s="14">
        <v>0.8</v>
      </c>
      <c r="H51" s="14">
        <v>0.8</v>
      </c>
      <c r="I51" s="14">
        <v>0.8</v>
      </c>
      <c r="J51" s="14">
        <v>0.8</v>
      </c>
      <c r="K51" s="14">
        <v>0.8</v>
      </c>
      <c r="L51" s="14">
        <v>0.8</v>
      </c>
      <c r="M51" s="14">
        <v>0.8</v>
      </c>
      <c r="N51" s="14">
        <v>0.8</v>
      </c>
      <c r="O51" s="14">
        <v>0.8</v>
      </c>
      <c r="P51" s="14">
        <v>0.8</v>
      </c>
      <c r="Q51" s="14">
        <v>0.8</v>
      </c>
      <c r="R51" s="14"/>
      <c r="S51" s="14"/>
      <c r="T51" s="14"/>
      <c r="U51" s="34"/>
    </row>
    <row r="52" spans="1:21" ht="30" customHeight="1">
      <c r="A52" s="180"/>
      <c r="B52" s="180"/>
      <c r="C52" s="180"/>
      <c r="D52" s="180"/>
      <c r="E52" s="180"/>
      <c r="F52" s="180"/>
      <c r="G52" s="180"/>
      <c r="H52" s="180"/>
      <c r="I52" s="180"/>
      <c r="J52" s="180"/>
      <c r="K52" s="180"/>
      <c r="L52" s="180"/>
      <c r="M52" s="180"/>
      <c r="N52" s="181"/>
      <c r="O52" s="181"/>
      <c r="P52" s="181"/>
      <c r="Q52" s="181"/>
      <c r="R52" s="181"/>
      <c r="S52" s="181"/>
      <c r="T52" s="181"/>
      <c r="U52" s="181"/>
    </row>
    <row r="53" spans="1:21" ht="36.6" customHeight="1">
      <c r="A53" s="21"/>
      <c r="B53" s="21"/>
      <c r="C53" s="21"/>
      <c r="D53" s="21"/>
      <c r="E53" s="21"/>
      <c r="F53" s="21"/>
      <c r="G53" s="21"/>
      <c r="H53" s="21"/>
      <c r="I53" s="21"/>
      <c r="J53" s="21"/>
      <c r="K53" s="22"/>
      <c r="L53" s="22"/>
      <c r="M53" s="22"/>
      <c r="N53" s="182" t="s">
        <v>161</v>
      </c>
      <c r="O53" s="182"/>
      <c r="P53" s="182"/>
      <c r="Q53" s="182"/>
      <c r="R53" s="182"/>
      <c r="S53" s="182"/>
      <c r="T53" s="182"/>
      <c r="U53" s="182"/>
    </row>
    <row r="54" spans="1:21" ht="36.6" customHeight="1">
      <c r="A54" s="21"/>
      <c r="B54" s="21"/>
      <c r="C54" s="21"/>
      <c r="D54" s="21"/>
      <c r="E54" s="21"/>
      <c r="F54" s="21"/>
      <c r="G54" s="21"/>
      <c r="H54" s="21"/>
      <c r="I54" s="21"/>
      <c r="J54" s="21"/>
      <c r="K54" s="22"/>
      <c r="L54" s="22"/>
      <c r="M54" s="22"/>
      <c r="N54" s="178" t="s">
        <v>26</v>
      </c>
      <c r="O54" s="178"/>
      <c r="P54" s="178"/>
      <c r="Q54" s="178"/>
      <c r="R54" s="178"/>
      <c r="S54" s="178"/>
      <c r="T54" s="178"/>
      <c r="U54" s="178"/>
    </row>
    <row r="55" spans="1:21" ht="36.6" customHeight="1">
      <c r="A55" s="21"/>
      <c r="B55" s="21"/>
      <c r="C55" s="21"/>
      <c r="D55" s="21"/>
      <c r="E55" s="21"/>
      <c r="F55" s="21"/>
      <c r="G55" s="21"/>
      <c r="H55" s="21"/>
      <c r="I55" s="21"/>
      <c r="J55" s="21"/>
      <c r="K55" s="22"/>
      <c r="L55" s="22"/>
      <c r="M55" s="22"/>
      <c r="N55" s="178" t="s">
        <v>27</v>
      </c>
      <c r="O55" s="178"/>
      <c r="P55" s="178"/>
      <c r="Q55" s="178"/>
      <c r="R55" s="178"/>
      <c r="S55" s="178"/>
      <c r="T55" s="178"/>
      <c r="U55" s="178"/>
    </row>
  </sheetData>
  <sheetProtection selectLockedCells="1" selectUnlockedCells="1"/>
  <mergeCells count="54">
    <mergeCell ref="A1:U3"/>
    <mergeCell ref="A4:U6"/>
    <mergeCell ref="A7:U7"/>
    <mergeCell ref="A8:U8"/>
    <mergeCell ref="A9:F9"/>
    <mergeCell ref="G9:L9"/>
    <mergeCell ref="M9:O9"/>
    <mergeCell ref="P9:U9"/>
    <mergeCell ref="A10:F10"/>
    <mergeCell ref="G10:L10"/>
    <mergeCell ref="M10:O10"/>
    <mergeCell ref="P10:U10"/>
    <mergeCell ref="A11:F11"/>
    <mergeCell ref="G11:L11"/>
    <mergeCell ref="M11:O11"/>
    <mergeCell ref="P11:U11"/>
    <mergeCell ref="A13:U13"/>
    <mergeCell ref="A15:A50"/>
    <mergeCell ref="B15:B16"/>
    <mergeCell ref="T15:T16"/>
    <mergeCell ref="U15:U16"/>
    <mergeCell ref="B17:B18"/>
    <mergeCell ref="T17:T18"/>
    <mergeCell ref="U17:U18"/>
    <mergeCell ref="B19:B21"/>
    <mergeCell ref="T19:T21"/>
    <mergeCell ref="U19:U21"/>
    <mergeCell ref="B22:B29"/>
    <mergeCell ref="T22:T29"/>
    <mergeCell ref="U22:U29"/>
    <mergeCell ref="B30:B34"/>
    <mergeCell ref="T30:T34"/>
    <mergeCell ref="U30:U34"/>
    <mergeCell ref="B35:B38"/>
    <mergeCell ref="T35:T38"/>
    <mergeCell ref="U35:U38"/>
    <mergeCell ref="B40:B42"/>
    <mergeCell ref="T40:T42"/>
    <mergeCell ref="U40:U42"/>
    <mergeCell ref="B43:B45"/>
    <mergeCell ref="T43:T45"/>
    <mergeCell ref="U43:U45"/>
    <mergeCell ref="B46:B48"/>
    <mergeCell ref="T46:T48"/>
    <mergeCell ref="U46:U48"/>
    <mergeCell ref="N53:U53"/>
    <mergeCell ref="N54:U54"/>
    <mergeCell ref="N55:U55"/>
    <mergeCell ref="B49:E49"/>
    <mergeCell ref="T49:U49"/>
    <mergeCell ref="B50:E50"/>
    <mergeCell ref="T50:U50"/>
    <mergeCell ref="A52:M52"/>
    <mergeCell ref="N52:U52"/>
  </mergeCells>
  <dataValidations count="2">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75" zoomScaleNormal="75" workbookViewId="0"/>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7.85546875" style="1" customWidth="1"/>
    <col min="6" max="19" width="10.7109375" style="1" customWidth="1"/>
    <col min="20" max="20" width="2.7109375" style="1" customWidth="1"/>
    <col min="21" max="16384" width="11.42578125" style="1"/>
  </cols>
  <sheetData>
    <row r="1" spans="1:256" s="3" customFormat="1" ht="13.9" customHeight="1">
      <c r="A1" s="184" t="s">
        <v>0</v>
      </c>
      <c r="B1" s="184"/>
      <c r="C1" s="184"/>
      <c r="D1" s="184"/>
      <c r="E1" s="184"/>
      <c r="F1" s="184"/>
      <c r="G1" s="184"/>
      <c r="H1" s="184"/>
      <c r="I1" s="184"/>
      <c r="J1" s="184"/>
      <c r="K1" s="184"/>
      <c r="L1" s="184"/>
      <c r="M1" s="184"/>
      <c r="N1" s="184"/>
      <c r="O1" s="184"/>
      <c r="P1" s="184"/>
      <c r="Q1" s="184"/>
      <c r="R1" s="184"/>
      <c r="S1" s="184"/>
      <c r="T1" s="184"/>
    </row>
    <row r="2" spans="1:256" s="3" customFormat="1" ht="13.9" customHeight="1">
      <c r="A2" s="184"/>
      <c r="B2" s="184"/>
      <c r="C2" s="184"/>
      <c r="D2" s="184"/>
      <c r="E2" s="184"/>
      <c r="F2" s="184"/>
      <c r="G2" s="184"/>
      <c r="H2" s="184"/>
      <c r="I2" s="184"/>
      <c r="J2" s="184"/>
      <c r="K2" s="184"/>
      <c r="L2" s="184"/>
      <c r="M2" s="184"/>
      <c r="N2" s="184"/>
      <c r="O2" s="184"/>
      <c r="P2" s="184"/>
      <c r="Q2" s="184"/>
      <c r="R2" s="184"/>
      <c r="S2" s="184"/>
      <c r="T2" s="184"/>
    </row>
    <row r="3" spans="1:256" s="3" customFormat="1" ht="13.9" customHeight="1">
      <c r="A3" s="184"/>
      <c r="B3" s="184"/>
      <c r="C3" s="184"/>
      <c r="D3" s="184"/>
      <c r="E3" s="184"/>
      <c r="F3" s="184"/>
      <c r="G3" s="184"/>
      <c r="H3" s="184"/>
      <c r="I3" s="184"/>
      <c r="J3" s="184"/>
      <c r="K3" s="184"/>
      <c r="L3" s="184"/>
      <c r="M3" s="184"/>
      <c r="N3" s="184"/>
      <c r="O3" s="184"/>
      <c r="P3" s="184"/>
      <c r="Q3" s="184"/>
      <c r="R3" s="184"/>
      <c r="S3" s="184"/>
      <c r="T3" s="184"/>
    </row>
    <row r="4" spans="1:256" s="3" customFormat="1" ht="13.9" customHeight="1">
      <c r="A4" s="184" t="s">
        <v>1</v>
      </c>
      <c r="B4" s="184"/>
      <c r="C4" s="184"/>
      <c r="D4" s="184"/>
      <c r="E4" s="184"/>
      <c r="F4" s="184"/>
      <c r="G4" s="184"/>
      <c r="H4" s="184"/>
      <c r="I4" s="184"/>
      <c r="J4" s="184"/>
      <c r="K4" s="184"/>
      <c r="L4" s="184"/>
      <c r="M4" s="184"/>
      <c r="N4" s="184"/>
      <c r="O4" s="184"/>
      <c r="P4" s="184"/>
      <c r="Q4" s="184"/>
      <c r="R4" s="184"/>
      <c r="S4" s="184"/>
      <c r="T4" s="184"/>
    </row>
    <row r="5" spans="1:256" s="3" customFormat="1" ht="13.9" customHeight="1">
      <c r="A5" s="184"/>
      <c r="B5" s="184"/>
      <c r="C5" s="184"/>
      <c r="D5" s="184"/>
      <c r="E5" s="184"/>
      <c r="F5" s="184"/>
      <c r="G5" s="184"/>
      <c r="H5" s="184"/>
      <c r="I5" s="184"/>
      <c r="J5" s="184"/>
      <c r="K5" s="184"/>
      <c r="L5" s="184"/>
      <c r="M5" s="184"/>
      <c r="N5" s="184"/>
      <c r="O5" s="184"/>
      <c r="P5" s="184"/>
      <c r="Q5" s="184"/>
      <c r="R5" s="184"/>
      <c r="S5" s="184"/>
      <c r="T5" s="184"/>
    </row>
    <row r="6" spans="1:256" s="3" customFormat="1" ht="13.9" customHeight="1">
      <c r="A6" s="184"/>
      <c r="B6" s="184"/>
      <c r="C6" s="184"/>
      <c r="D6" s="184"/>
      <c r="E6" s="184"/>
      <c r="F6" s="184"/>
      <c r="G6" s="184"/>
      <c r="H6" s="184"/>
      <c r="I6" s="184"/>
      <c r="J6" s="184"/>
      <c r="K6" s="184"/>
      <c r="L6" s="184"/>
      <c r="M6" s="184"/>
      <c r="N6" s="184"/>
      <c r="O6" s="184"/>
      <c r="P6" s="184"/>
      <c r="Q6" s="184"/>
      <c r="R6" s="184"/>
      <c r="S6" s="184"/>
      <c r="T6" s="184"/>
    </row>
    <row r="7" spans="1:256" s="3" customFormat="1" ht="12.75" customHeight="1">
      <c r="A7" s="185"/>
      <c r="B7" s="185"/>
      <c r="C7" s="185"/>
      <c r="D7" s="185"/>
      <c r="E7" s="185"/>
      <c r="F7" s="185"/>
      <c r="G7" s="185"/>
      <c r="H7" s="185"/>
      <c r="I7" s="185"/>
      <c r="J7" s="185"/>
      <c r="K7" s="185"/>
      <c r="L7" s="185"/>
      <c r="M7" s="185"/>
      <c r="N7" s="185"/>
      <c r="O7" s="185"/>
      <c r="P7" s="185"/>
      <c r="Q7" s="185"/>
      <c r="R7" s="185"/>
      <c r="S7" s="185"/>
    </row>
    <row r="8" spans="1:256" ht="30" customHeight="1">
      <c r="A8" s="179" t="s">
        <v>2</v>
      </c>
      <c r="B8" s="179"/>
      <c r="C8" s="179"/>
      <c r="D8" s="179"/>
      <c r="E8" s="179"/>
      <c r="F8" s="179"/>
      <c r="G8" s="179"/>
      <c r="H8" s="179"/>
      <c r="I8" s="179"/>
      <c r="J8" s="179"/>
      <c r="K8" s="179"/>
      <c r="L8" s="179"/>
      <c r="M8" s="179"/>
      <c r="N8" s="179"/>
      <c r="O8" s="179"/>
      <c r="P8" s="179"/>
      <c r="Q8" s="179"/>
      <c r="R8" s="179"/>
      <c r="S8" s="179"/>
    </row>
    <row r="9" spans="1:256" ht="42" customHeight="1">
      <c r="A9" s="182" t="s">
        <v>3</v>
      </c>
      <c r="B9" s="182"/>
      <c r="C9" s="182"/>
      <c r="D9" s="182"/>
      <c r="E9" s="182"/>
      <c r="F9" s="182"/>
      <c r="G9" s="183" t="s">
        <v>179</v>
      </c>
      <c r="H9" s="183"/>
      <c r="I9" s="183"/>
      <c r="J9" s="183"/>
      <c r="K9" s="183"/>
      <c r="L9" s="183"/>
      <c r="M9" s="182" t="s">
        <v>5</v>
      </c>
      <c r="N9" s="182"/>
      <c r="O9" s="182"/>
      <c r="P9" s="201" t="s">
        <v>90</v>
      </c>
      <c r="Q9" s="201"/>
      <c r="R9" s="201"/>
      <c r="S9" s="201"/>
    </row>
    <row r="10" spans="1:256" ht="42" customHeight="1">
      <c r="A10" s="182" t="s">
        <v>7</v>
      </c>
      <c r="B10" s="182"/>
      <c r="C10" s="182"/>
      <c r="D10" s="182"/>
      <c r="E10" s="182"/>
      <c r="F10" s="182"/>
      <c r="G10" s="183" t="s">
        <v>8</v>
      </c>
      <c r="H10" s="183"/>
      <c r="I10" s="183"/>
      <c r="J10" s="183"/>
      <c r="K10" s="183"/>
      <c r="L10" s="183"/>
      <c r="M10" s="182" t="s">
        <v>9</v>
      </c>
      <c r="N10" s="182"/>
      <c r="O10" s="182"/>
      <c r="P10" s="201" t="s">
        <v>10</v>
      </c>
      <c r="Q10" s="201"/>
      <c r="R10" s="201"/>
      <c r="S10" s="201"/>
    </row>
    <row r="11" spans="1:256" ht="52.9" customHeight="1">
      <c r="A11" s="182" t="s">
        <v>11</v>
      </c>
      <c r="B11" s="182"/>
      <c r="C11" s="182"/>
      <c r="D11" s="182"/>
      <c r="E11" s="182"/>
      <c r="F11" s="182"/>
      <c r="G11" s="183" t="s">
        <v>91</v>
      </c>
      <c r="H11" s="183"/>
      <c r="I11" s="183"/>
      <c r="J11" s="183"/>
      <c r="K11" s="183"/>
      <c r="L11" s="183"/>
      <c r="M11" s="182" t="s">
        <v>32</v>
      </c>
      <c r="N11" s="182"/>
      <c r="O11" s="182"/>
      <c r="P11" s="201" t="s">
        <v>33</v>
      </c>
      <c r="Q11" s="201"/>
      <c r="R11" s="201"/>
      <c r="S11" s="201"/>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52</v>
      </c>
      <c r="B13" s="179"/>
      <c r="C13" s="179"/>
      <c r="D13" s="179"/>
      <c r="E13" s="179"/>
      <c r="F13" s="179"/>
      <c r="G13" s="179"/>
      <c r="H13" s="179"/>
      <c r="I13" s="179"/>
      <c r="J13" s="179"/>
      <c r="K13" s="179"/>
      <c r="L13" s="179"/>
      <c r="M13" s="179"/>
      <c r="N13" s="179"/>
      <c r="O13" s="179"/>
      <c r="P13" s="179"/>
      <c r="Q13" s="179"/>
      <c r="R13" s="179"/>
      <c r="S13" s="179"/>
    </row>
    <row r="14" spans="1:256" ht="30" customHeight="1">
      <c r="A14" s="4" t="s">
        <v>53</v>
      </c>
      <c r="B14" s="4" t="s">
        <v>93</v>
      </c>
      <c r="C14" s="6" t="s">
        <v>94</v>
      </c>
      <c r="D14" s="6" t="s">
        <v>180</v>
      </c>
      <c r="E14" s="6" t="s">
        <v>96</v>
      </c>
      <c r="F14" s="6" t="s">
        <v>55</v>
      </c>
      <c r="G14" s="4" t="s">
        <v>56</v>
      </c>
      <c r="H14" s="4" t="s">
        <v>57</v>
      </c>
      <c r="I14" s="4" t="s">
        <v>58</v>
      </c>
      <c r="J14" s="4" t="s">
        <v>59</v>
      </c>
      <c r="K14" s="4" t="s">
        <v>60</v>
      </c>
      <c r="L14" s="4" t="s">
        <v>61</v>
      </c>
      <c r="M14" s="4" t="s">
        <v>62</v>
      </c>
      <c r="N14" s="4" t="s">
        <v>63</v>
      </c>
      <c r="O14" s="4" t="s">
        <v>64</v>
      </c>
      <c r="P14" s="4" t="s">
        <v>65</v>
      </c>
      <c r="Q14" s="4" t="s">
        <v>66</v>
      </c>
      <c r="R14" s="4" t="s">
        <v>181</v>
      </c>
      <c r="S14" s="4" t="s">
        <v>182</v>
      </c>
    </row>
    <row r="15" spans="1:256" ht="15" customHeight="1">
      <c r="A15" s="178">
        <v>2015</v>
      </c>
      <c r="B15" s="178">
        <v>914</v>
      </c>
      <c r="C15" s="7" t="s">
        <v>100</v>
      </c>
      <c r="D15" s="77">
        <v>92000</v>
      </c>
      <c r="E15" s="38" t="s">
        <v>101</v>
      </c>
      <c r="F15" s="9">
        <f>+'Seguim Proy inversión 2015'!F15</f>
        <v>0</v>
      </c>
      <c r="G15" s="9">
        <f>+'Seguim Proy inversión 2015'!G15</f>
        <v>123</v>
      </c>
      <c r="H15" s="9">
        <f>+'Seguim Proy inversión 2015'!H15</f>
        <v>4294</v>
      </c>
      <c r="I15" s="9">
        <f>+'Seguim Proy inversión 2015'!I15</f>
        <v>8411</v>
      </c>
      <c r="J15" s="9">
        <f>+'Seguim Proy inversión 2015'!J15</f>
        <v>19864</v>
      </c>
      <c r="K15" s="9">
        <f>+'Seguim Proy inversión 2015'!K15</f>
        <v>24922</v>
      </c>
      <c r="L15" s="9">
        <f>+'Seguim Proy inversión 2015'!L15</f>
        <v>42470</v>
      </c>
      <c r="M15" s="9">
        <f>+'Seguim Proy inversión 2015'!M15</f>
        <v>50099</v>
      </c>
      <c r="N15" s="9">
        <f>+'Seguim Proy inversión 2015'!N15</f>
        <v>57286</v>
      </c>
      <c r="O15" s="9">
        <f>+'Seguim Proy inversión 2015'!O15</f>
        <v>66314</v>
      </c>
      <c r="P15" s="9">
        <f>+'Seguim Proy inversión 2015'!P15</f>
        <v>72718</v>
      </c>
      <c r="Q15" s="9">
        <f>+'Seguim Proy inversión 2015'!Q15</f>
        <v>80027</v>
      </c>
      <c r="R15" s="9">
        <f>MAX(F15,G15,H15,I15,J15,K15,L15,M15,N15,O15,P15,Q15)</f>
        <v>80027</v>
      </c>
      <c r="S15" s="33">
        <f t="shared" ref="S15:S35" si="0">+R15/D15</f>
        <v>0.86985869565217389</v>
      </c>
    </row>
    <row r="16" spans="1:256" ht="28.5" customHeight="1">
      <c r="A16" s="178"/>
      <c r="B16" s="178"/>
      <c r="C16" s="7" t="s">
        <v>102</v>
      </c>
      <c r="D16" s="77">
        <v>80</v>
      </c>
      <c r="E16" s="38" t="s">
        <v>103</v>
      </c>
      <c r="F16" s="9">
        <f>+'Seguim Proy inversión 2015'!F16</f>
        <v>0</v>
      </c>
      <c r="G16" s="9">
        <f>+'Seguim Proy inversión 2015'!G16</f>
        <v>0</v>
      </c>
      <c r="H16" s="9">
        <f>+'Seguim Proy inversión 2015'!H16</f>
        <v>2</v>
      </c>
      <c r="I16" s="9">
        <f>+'Seguim Proy inversión 2015'!I16</f>
        <v>1</v>
      </c>
      <c r="J16" s="9">
        <f>+'Seguim Proy inversión 2015'!J16</f>
        <v>0</v>
      </c>
      <c r="K16" s="9">
        <f>+'Seguim Proy inversión 2015'!K16</f>
        <v>0</v>
      </c>
      <c r="L16" s="9">
        <f>+'Seguim Proy inversión 2015'!L16</f>
        <v>5</v>
      </c>
      <c r="M16" s="9">
        <f>+'Seguim Proy inversión 2015'!M16</f>
        <v>8</v>
      </c>
      <c r="N16" s="9">
        <f>+'Seguim Proy inversión 2015'!N16</f>
        <v>50</v>
      </c>
      <c r="O16" s="9">
        <f>+'Seguim Proy inversión 2015'!O16</f>
        <v>66</v>
      </c>
      <c r="P16" s="9">
        <f>+'Seguim Proy inversión 2015'!P16</f>
        <v>85</v>
      </c>
      <c r="Q16" s="9">
        <f>+'Seguim Proy inversión 2015'!Q16</f>
        <v>85</v>
      </c>
      <c r="R16" s="9">
        <f>MAX(F16,G16,H16,I16,J16,K16,L16,M16,N16,O16,P16,Q16)</f>
        <v>85</v>
      </c>
      <c r="S16" s="33">
        <f t="shared" si="0"/>
        <v>1.0625</v>
      </c>
    </row>
    <row r="17" spans="1:19" ht="30" customHeight="1">
      <c r="A17" s="178"/>
      <c r="B17" s="178">
        <v>915</v>
      </c>
      <c r="C17" s="7" t="s">
        <v>104</v>
      </c>
      <c r="D17" s="77">
        <v>65216</v>
      </c>
      <c r="E17" s="38" t="s">
        <v>105</v>
      </c>
      <c r="F17" s="9">
        <f>+'Seguim Proy inversión 2015'!F17</f>
        <v>0</v>
      </c>
      <c r="G17" s="9">
        <f>+'Seguim Proy inversión 2015'!G17</f>
        <v>11726</v>
      </c>
      <c r="H17" s="9">
        <f>+'Seguim Proy inversión 2015'!H17</f>
        <v>24602</v>
      </c>
      <c r="I17" s="9">
        <f>+'Seguim Proy inversión 2015'!I17</f>
        <v>28125</v>
      </c>
      <c r="J17" s="9">
        <f>+'Seguim Proy inversión 2015'!J17</f>
        <v>30414</v>
      </c>
      <c r="K17" s="9">
        <f>+'Seguim Proy inversión 2015'!K17</f>
        <v>32251</v>
      </c>
      <c r="L17" s="9">
        <f>+'Seguim Proy inversión 2015'!L17</f>
        <v>40090</v>
      </c>
      <c r="M17" s="9">
        <f>+'Seguim Proy inversión 2015'!M17</f>
        <v>43834</v>
      </c>
      <c r="N17" s="9">
        <f>+'Seguim Proy inversión 2015'!N17</f>
        <v>51190</v>
      </c>
      <c r="O17" s="9">
        <f>+'Seguim Proy inversión 2015'!O17</f>
        <v>54619</v>
      </c>
      <c r="P17" s="9">
        <f>+'Seguim Proy inversión 2015'!P17</f>
        <v>58960</v>
      </c>
      <c r="Q17" s="9">
        <f>+'Seguim Proy inversión 2015'!Q17</f>
        <v>58960</v>
      </c>
      <c r="R17" s="9">
        <f>MAX(F17,G17,H17,I17,J17,K17,L17,M17,N17,O17,P17,Q17)</f>
        <v>58960</v>
      </c>
      <c r="S17" s="33">
        <f t="shared" si="0"/>
        <v>0.90407262021589796</v>
      </c>
    </row>
    <row r="18" spans="1:19" ht="30" customHeight="1">
      <c r="A18" s="178"/>
      <c r="B18" s="178"/>
      <c r="C18" s="7" t="s">
        <v>106</v>
      </c>
      <c r="D18" s="77">
        <v>150</v>
      </c>
      <c r="E18" s="38" t="s">
        <v>107</v>
      </c>
      <c r="F18" s="9">
        <f>+'Seguim Proy inversión 2015'!F18</f>
        <v>0</v>
      </c>
      <c r="G18" s="9">
        <f>+'Seguim Proy inversión 2015'!G18</f>
        <v>0</v>
      </c>
      <c r="H18" s="9">
        <f>+'Seguim Proy inversión 2015'!H18</f>
        <v>14</v>
      </c>
      <c r="I18" s="9">
        <f>+'Seguim Proy inversión 2015'!I18</f>
        <v>26</v>
      </c>
      <c r="J18" s="9">
        <f>+'Seguim Proy inversión 2015'!J18</f>
        <v>30</v>
      </c>
      <c r="K18" s="9">
        <f>+'Seguim Proy inversión 2015'!K18</f>
        <v>36</v>
      </c>
      <c r="L18" s="9">
        <f>+'Seguim Proy inversión 2015'!L18</f>
        <v>38</v>
      </c>
      <c r="M18" s="9">
        <f>+'Seguim Proy inversión 2015'!M18</f>
        <v>40</v>
      </c>
      <c r="N18" s="9">
        <f>+'Seguim Proy inversión 2015'!N18</f>
        <v>42</v>
      </c>
      <c r="O18" s="9">
        <f>+'Seguim Proy inversión 2015'!O18</f>
        <v>42</v>
      </c>
      <c r="P18" s="9">
        <f>+'Seguim Proy inversión 2015'!P18</f>
        <v>42</v>
      </c>
      <c r="Q18" s="9">
        <f>+'Seguim Proy inversión 2015'!Q18</f>
        <v>42</v>
      </c>
      <c r="R18" s="9">
        <f>MAX(F18,G18,H18,I18,J18,K18,L18,M18,N18,O18,P18,Q18)</f>
        <v>42</v>
      </c>
      <c r="S18" s="33">
        <f t="shared" si="0"/>
        <v>0.28000000000000003</v>
      </c>
    </row>
    <row r="19" spans="1:19" ht="15" customHeight="1">
      <c r="A19" s="178"/>
      <c r="B19" s="178">
        <v>772</v>
      </c>
      <c r="C19" s="7" t="s">
        <v>108</v>
      </c>
      <c r="D19" s="77">
        <v>6</v>
      </c>
      <c r="E19" s="38" t="s">
        <v>109</v>
      </c>
      <c r="F19" s="9">
        <f>+'Seguim Proy inversión 2015'!F19</f>
        <v>0</v>
      </c>
      <c r="G19" s="9">
        <f>+'Seguim Proy inversión 2015'!G19</f>
        <v>0</v>
      </c>
      <c r="H19" s="9">
        <f>+'Seguim Proy inversión 2015'!H19</f>
        <v>2</v>
      </c>
      <c r="I19" s="9">
        <f>+'Seguim Proy inversión 2015'!I19</f>
        <v>0</v>
      </c>
      <c r="J19" s="9">
        <f>+'Seguim Proy inversión 2015'!J19</f>
        <v>2</v>
      </c>
      <c r="K19" s="9">
        <f>+'Seguim Proy inversión 2015'!K19</f>
        <v>2</v>
      </c>
      <c r="L19" s="9">
        <f>+'Seguim Proy inversión 2015'!L19</f>
        <v>3</v>
      </c>
      <c r="M19" s="9">
        <f>+'Seguim Proy inversión 2015'!M19</f>
        <v>5</v>
      </c>
      <c r="N19" s="9">
        <f>+'Seguim Proy inversión 2015'!N19</f>
        <v>4</v>
      </c>
      <c r="O19" s="9">
        <f>+'Seguim Proy inversión 2015'!O19</f>
        <v>0</v>
      </c>
      <c r="P19" s="9">
        <f>+'Seguim Proy inversión 2015'!P19</f>
        <v>0</v>
      </c>
      <c r="Q19" s="9">
        <f>+'Seguim Proy inversión 2015'!Q19</f>
        <v>0</v>
      </c>
      <c r="R19" s="9">
        <f>MAX(F19,G19,H19,I19,J19,K19,L19,M19,N19,O19,P19,Q19)</f>
        <v>5</v>
      </c>
      <c r="S19" s="33">
        <f t="shared" si="0"/>
        <v>0.83333333333333337</v>
      </c>
    </row>
    <row r="20" spans="1:19" ht="30" customHeight="1">
      <c r="A20" s="178"/>
      <c r="B20" s="178"/>
      <c r="C20" s="7" t="s">
        <v>110</v>
      </c>
      <c r="D20" s="77">
        <v>100</v>
      </c>
      <c r="E20" s="38" t="s">
        <v>111</v>
      </c>
      <c r="F20" s="9">
        <f>+'Seguim Proy inversión 2015'!F20</f>
        <v>1</v>
      </c>
      <c r="G20" s="9">
        <f>+'Seguim Proy inversión 2015'!G20</f>
        <v>1</v>
      </c>
      <c r="H20" s="9">
        <f>+'Seguim Proy inversión 2015'!H20</f>
        <v>1</v>
      </c>
      <c r="I20" s="9">
        <f>+'Seguim Proy inversión 2015'!I20</f>
        <v>1</v>
      </c>
      <c r="J20" s="9">
        <f>+'Seguim Proy inversión 2015'!J20</f>
        <v>6</v>
      </c>
      <c r="K20" s="9">
        <f>+'Seguim Proy inversión 2015'!K20</f>
        <v>3</v>
      </c>
      <c r="L20" s="9">
        <f>+'Seguim Proy inversión 2015'!L20</f>
        <v>11</v>
      </c>
      <c r="M20" s="9">
        <f>+'Seguim Proy inversión 2015'!M20</f>
        <v>7</v>
      </c>
      <c r="N20" s="9">
        <f>+'Seguim Proy inversión 2015'!N20</f>
        <v>6</v>
      </c>
      <c r="O20" s="9">
        <f>+'Seguim Proy inversión 2015'!O20</f>
        <v>8</v>
      </c>
      <c r="P20" s="9">
        <f>+'Seguim Proy inversión 2015'!P20</f>
        <v>9</v>
      </c>
      <c r="Q20" s="9">
        <f>+'Seguim Proy inversión 2015'!Q20</f>
        <v>2</v>
      </c>
      <c r="R20" s="9">
        <f>+SUM(F20,G20,H20,I20,J20,K20,L20,M20,N20,O20,P20,Q20)</f>
        <v>56</v>
      </c>
      <c r="S20" s="33">
        <f t="shared" si="0"/>
        <v>0.56000000000000005</v>
      </c>
    </row>
    <row r="21" spans="1:19" ht="15" customHeight="1">
      <c r="A21" s="178"/>
      <c r="B21" s="178"/>
      <c r="C21" s="7" t="s">
        <v>110</v>
      </c>
      <c r="D21" s="77">
        <v>5</v>
      </c>
      <c r="E21" s="38" t="s">
        <v>112</v>
      </c>
      <c r="F21" s="9">
        <f>+'Seguim Proy inversión 2015'!F21</f>
        <v>0</v>
      </c>
      <c r="G21" s="9">
        <f>+'Seguim Proy inversión 2015'!G21</f>
        <v>0</v>
      </c>
      <c r="H21" s="9">
        <f>+'Seguim Proy inversión 2015'!H21</f>
        <v>0</v>
      </c>
      <c r="I21" s="9">
        <f>+'Seguim Proy inversión 2015'!I21</f>
        <v>0</v>
      </c>
      <c r="J21" s="9">
        <f>+'Seguim Proy inversión 2015'!J21</f>
        <v>0</v>
      </c>
      <c r="K21" s="9">
        <f>+'Seguim Proy inversión 2015'!K21</f>
        <v>0</v>
      </c>
      <c r="L21" s="9">
        <f>+'Seguim Proy inversión 2015'!L21</f>
        <v>0</v>
      </c>
      <c r="M21" s="9">
        <f>+'Seguim Proy inversión 2015'!M21</f>
        <v>0</v>
      </c>
      <c r="N21" s="9">
        <f>+'Seguim Proy inversión 2015'!N21</f>
        <v>0</v>
      </c>
      <c r="O21" s="9">
        <f>+'Seguim Proy inversión 2015'!O21</f>
        <v>2</v>
      </c>
      <c r="P21" s="9">
        <f>+'Seguim Proy inversión 2015'!P21</f>
        <v>0</v>
      </c>
      <c r="Q21" s="9">
        <f>+'Seguim Proy inversión 2015'!Q21</f>
        <v>0</v>
      </c>
      <c r="R21" s="9">
        <f>MAX(F21,G21,H21,I21,J21,K21,L21,M21,N21,O21,P21,Q21)</f>
        <v>2</v>
      </c>
      <c r="S21" s="33">
        <f t="shared" si="0"/>
        <v>0.4</v>
      </c>
    </row>
    <row r="22" spans="1:19" ht="15" customHeight="1">
      <c r="A22" s="178"/>
      <c r="B22" s="178">
        <v>795</v>
      </c>
      <c r="C22" s="7" t="s">
        <v>113</v>
      </c>
      <c r="D22" s="78">
        <v>1140000</v>
      </c>
      <c r="E22" s="38" t="s">
        <v>114</v>
      </c>
      <c r="F22" s="9">
        <f>+'Seguim Proy inversión 2015'!F22</f>
        <v>16507</v>
      </c>
      <c r="G22" s="9">
        <f>+'Seguim Proy inversión 2015'!G22</f>
        <v>6101</v>
      </c>
      <c r="H22" s="9">
        <f>+'Seguim Proy inversión 2015'!H22</f>
        <v>8777</v>
      </c>
      <c r="I22" s="9">
        <f>+'Seguim Proy inversión 2015'!I22</f>
        <v>304690</v>
      </c>
      <c r="J22" s="9">
        <f>+'Seguim Proy inversión 2015'!J22</f>
        <v>228502</v>
      </c>
      <c r="K22" s="9">
        <f>+'Seguim Proy inversión 2015'!K22</f>
        <v>99075</v>
      </c>
      <c r="L22" s="9">
        <f>+'Seguim Proy inversión 2015'!L22</f>
        <v>81712</v>
      </c>
      <c r="M22" s="9">
        <f>+'Seguim Proy inversión 2015'!M22</f>
        <v>352121</v>
      </c>
      <c r="N22" s="9">
        <f>+'Seguim Proy inversión 2015'!N22</f>
        <v>182665</v>
      </c>
      <c r="O22" s="9">
        <f>+'Seguim Proy inversión 2015'!O22</f>
        <v>143972</v>
      </c>
      <c r="P22" s="9">
        <f>+'Seguim Proy inversión 2015'!P22</f>
        <v>203739</v>
      </c>
      <c r="Q22" s="9">
        <f>+'Seguim Proy inversión 2015'!Q22</f>
        <v>110540</v>
      </c>
      <c r="R22" s="9">
        <f>+SUM(F22,G22,H22,I22,J22,K22,L22,M22,N22,O22,P22,Q22)</f>
        <v>1738401</v>
      </c>
      <c r="S22" s="33">
        <f t="shared" si="0"/>
        <v>1.5249131578947368</v>
      </c>
    </row>
    <row r="23" spans="1:19" ht="12.75" customHeight="1">
      <c r="A23" s="178"/>
      <c r="B23" s="178"/>
      <c r="C23" s="7" t="s">
        <v>110</v>
      </c>
      <c r="D23" s="78">
        <v>2486</v>
      </c>
      <c r="E23" s="38" t="s">
        <v>119</v>
      </c>
      <c r="F23" s="9">
        <f>+'Seguim Proy inversión 2015'!F25</f>
        <v>0</v>
      </c>
      <c r="G23" s="9">
        <f>+'Seguim Proy inversión 2015'!G25</f>
        <v>0</v>
      </c>
      <c r="H23" s="9">
        <f>+'Seguim Proy inversión 2015'!H25</f>
        <v>6</v>
      </c>
      <c r="I23" s="9">
        <f>+'Seguim Proy inversión 2015'!I25</f>
        <v>67</v>
      </c>
      <c r="J23" s="9">
        <f>+'Seguim Proy inversión 2015'!J25</f>
        <v>72</v>
      </c>
      <c r="K23" s="9">
        <f>+'Seguim Proy inversión 2015'!K25</f>
        <v>168</v>
      </c>
      <c r="L23" s="9">
        <f>+'Seguim Proy inversión 2015'!L25</f>
        <v>241</v>
      </c>
      <c r="M23" s="9">
        <f>+'Seguim Proy inversión 2015'!M25</f>
        <v>78</v>
      </c>
      <c r="N23" s="9">
        <f>+'Seguim Proy inversión 2015'!N25</f>
        <v>87</v>
      </c>
      <c r="O23" s="9">
        <f>+'Seguim Proy inversión 2015'!O25</f>
        <v>30</v>
      </c>
      <c r="P23" s="9">
        <f>+'Seguim Proy inversión 2015'!P25</f>
        <v>2</v>
      </c>
      <c r="Q23" s="9">
        <f>+'Seguim Proy inversión 2015'!Q25</f>
        <v>30</v>
      </c>
      <c r="R23" s="9">
        <f>+SUM(F23,G23,H23,I23,J23,K23,L23,M23,N23,O23,P23,Q23)</f>
        <v>781</v>
      </c>
      <c r="S23" s="33">
        <f t="shared" si="0"/>
        <v>0.31415929203539822</v>
      </c>
    </row>
    <row r="24" spans="1:19" ht="12.75" customHeight="1">
      <c r="A24" s="178"/>
      <c r="B24" s="178"/>
      <c r="C24" s="7" t="s">
        <v>183</v>
      </c>
      <c r="D24" s="79">
        <v>0.2</v>
      </c>
      <c r="E24" s="38" t="s">
        <v>184</v>
      </c>
      <c r="F24" s="33">
        <f>+'Seguim Proy inversión 2015'!F26</f>
        <v>0</v>
      </c>
      <c r="G24" s="33">
        <f>+'Seguim Proy inversión 2015'!G26</f>
        <v>0</v>
      </c>
      <c r="H24" s="33">
        <f>+'Seguim Proy inversión 2015'!H26</f>
        <v>0</v>
      </c>
      <c r="I24" s="33">
        <f>+'Seguim Proy inversión 2015'!I26</f>
        <v>0</v>
      </c>
      <c r="J24" s="33">
        <f>+'Seguim Proy inversión 2015'!J26</f>
        <v>0</v>
      </c>
      <c r="K24" s="33">
        <f>+'Seguim Proy inversión 2015'!K26</f>
        <v>0.2</v>
      </c>
      <c r="L24" s="33">
        <f>+'Seguim Proy inversión 2015'!L26</f>
        <v>0.2</v>
      </c>
      <c r="M24" s="33">
        <f>+'Seguim Proy inversión 2015'!M26</f>
        <v>0.2</v>
      </c>
      <c r="N24" s="33">
        <f>+'Seguim Proy inversión 2015'!N26</f>
        <v>0.2</v>
      </c>
      <c r="O24" s="33">
        <f>+'Seguim Proy inversión 2015'!O26</f>
        <v>0.2</v>
      </c>
      <c r="P24" s="33">
        <f>+'Seguim Proy inversión 2015'!P26</f>
        <v>0.2</v>
      </c>
      <c r="Q24" s="33">
        <f>+'Seguim Proy inversión 2015'!Q26</f>
        <v>0.2</v>
      </c>
      <c r="R24" s="9">
        <f>MAX(F24,G24,H24,I24,J24,K24,L24,M24,N24,O24,P24,Q24)</f>
        <v>0.2</v>
      </c>
      <c r="S24" s="33">
        <f t="shared" si="0"/>
        <v>1</v>
      </c>
    </row>
    <row r="25" spans="1:19" ht="12.75" customHeight="1">
      <c r="A25" s="178"/>
      <c r="B25" s="178"/>
      <c r="C25" s="42" t="s">
        <v>122</v>
      </c>
      <c r="D25" s="78">
        <v>303000</v>
      </c>
      <c r="E25" s="38" t="s">
        <v>116</v>
      </c>
      <c r="F25" s="9">
        <f>+'Seguim Proy inversión 2015'!F27</f>
        <v>0</v>
      </c>
      <c r="G25" s="9">
        <f>+'Seguim Proy inversión 2015'!G27</f>
        <v>603</v>
      </c>
      <c r="H25" s="9">
        <f>+'Seguim Proy inversión 2015'!H27</f>
        <v>515</v>
      </c>
      <c r="I25" s="9">
        <f>+'Seguim Proy inversión 2015'!I27</f>
        <v>275</v>
      </c>
      <c r="J25" s="9">
        <f>+'Seguim Proy inversión 2015'!J27</f>
        <v>49857</v>
      </c>
      <c r="K25" s="9">
        <f>+'Seguim Proy inversión 2015'!K27</f>
        <v>3501</v>
      </c>
      <c r="L25" s="9">
        <f>+'Seguim Proy inversión 2015'!L27</f>
        <v>1308</v>
      </c>
      <c r="M25" s="9">
        <f>+'Seguim Proy inversión 2015'!M27</f>
        <v>5676</v>
      </c>
      <c r="N25" s="9">
        <f>+'Seguim Proy inversión 2015'!N27</f>
        <v>16131</v>
      </c>
      <c r="O25" s="9">
        <f>+'Seguim Proy inversión 2015'!O27</f>
        <v>4581</v>
      </c>
      <c r="P25" s="9">
        <f>+'Seguim Proy inversión 2015'!P27</f>
        <v>6689</v>
      </c>
      <c r="Q25" s="9">
        <f>+'Seguim Proy inversión 2015'!Q27</f>
        <v>11171</v>
      </c>
      <c r="R25" s="9">
        <f>+SUM(F25,G25,H25,I25,J25,K25,L25,M25,N25,O25,P25,Q25)</f>
        <v>100307</v>
      </c>
      <c r="S25" s="33">
        <f t="shared" si="0"/>
        <v>0.33104620462046203</v>
      </c>
    </row>
    <row r="26" spans="1:19" ht="12.75" customHeight="1">
      <c r="A26" s="178"/>
      <c r="B26" s="178"/>
      <c r="C26" s="42" t="s">
        <v>123</v>
      </c>
      <c r="D26" s="78">
        <v>50</v>
      </c>
      <c r="E26" s="38" t="s">
        <v>124</v>
      </c>
      <c r="F26" s="9">
        <f>+'Seguim Proy inversión 2015'!F28</f>
        <v>0</v>
      </c>
      <c r="G26" s="9">
        <f>+'Seguim Proy inversión 2015'!G28</f>
        <v>0</v>
      </c>
      <c r="H26" s="9">
        <f>+'Seguim Proy inversión 2015'!H28</f>
        <v>0</v>
      </c>
      <c r="I26" s="9">
        <f>+'Seguim Proy inversión 2015'!I28</f>
        <v>0</v>
      </c>
      <c r="J26" s="9">
        <f>+'Seguim Proy inversión 2015'!J28</f>
        <v>0</v>
      </c>
      <c r="K26" s="9">
        <f>+'Seguim Proy inversión 2015'!K28</f>
        <v>0</v>
      </c>
      <c r="L26" s="9">
        <f>+'Seguim Proy inversión 2015'!L28</f>
        <v>10</v>
      </c>
      <c r="M26" s="9">
        <f>+'Seguim Proy inversión 2015'!M28</f>
        <v>0</v>
      </c>
      <c r="N26" s="9">
        <f>+'Seguim Proy inversión 2015'!N28</f>
        <v>0</v>
      </c>
      <c r="O26" s="9">
        <f>+'Seguim Proy inversión 2015'!O28</f>
        <v>0</v>
      </c>
      <c r="P26" s="9">
        <f>+'Seguim Proy inversión 2015'!P28</f>
        <v>0</v>
      </c>
      <c r="Q26" s="9">
        <f>+'Seguim Proy inversión 2015'!Q28</f>
        <v>0</v>
      </c>
      <c r="R26" s="9">
        <f>+SUM(F26,G26,H26,I26,J26,K26,L26,M26,N26,O26,P26,Q26)</f>
        <v>10</v>
      </c>
      <c r="S26" s="33">
        <f t="shared" si="0"/>
        <v>0.2</v>
      </c>
    </row>
    <row r="27" spans="1:19" ht="12.75" customHeight="1">
      <c r="A27" s="178"/>
      <c r="B27" s="178"/>
      <c r="C27" s="42" t="s">
        <v>164</v>
      </c>
      <c r="D27" s="78">
        <v>7</v>
      </c>
      <c r="E27" s="38" t="s">
        <v>126</v>
      </c>
      <c r="F27" s="9">
        <f>+'Seguim Proy inversión 2015'!F29</f>
        <v>0</v>
      </c>
      <c r="G27" s="9">
        <f>+'Seguim Proy inversión 2015'!G29</f>
        <v>0</v>
      </c>
      <c r="H27" s="9">
        <f>+'Seguim Proy inversión 2015'!H29</f>
        <v>3</v>
      </c>
      <c r="I27" s="9">
        <f>+'Seguim Proy inversión 2015'!I29</f>
        <v>3</v>
      </c>
      <c r="J27" s="9">
        <f>+'Seguim Proy inversión 2015'!J29</f>
        <v>4</v>
      </c>
      <c r="K27" s="9">
        <f>+'Seguim Proy inversión 2015'!K29</f>
        <v>5</v>
      </c>
      <c r="L27" s="9">
        <f>+'Seguim Proy inversión 2015'!L29</f>
        <v>5</v>
      </c>
      <c r="M27" s="9">
        <f>+'Seguim Proy inversión 2015'!M29</f>
        <v>5</v>
      </c>
      <c r="N27" s="9">
        <f>+'Seguim Proy inversión 2015'!N29</f>
        <v>0</v>
      </c>
      <c r="O27" s="9">
        <f>+'Seguim Proy inversión 2015'!O29</f>
        <v>0</v>
      </c>
      <c r="P27" s="9">
        <f>+'Seguim Proy inversión 2015'!P29</f>
        <v>0</v>
      </c>
      <c r="Q27" s="9">
        <f>+'Seguim Proy inversión 2015'!Q29</f>
        <v>5</v>
      </c>
      <c r="R27" s="9">
        <f>MAX(F27,G27,H27,I27,J27,K27,L27,M27,N27,O27,P27,Q27)</f>
        <v>5</v>
      </c>
      <c r="S27" s="33">
        <f t="shared" si="0"/>
        <v>0.7142857142857143</v>
      </c>
    </row>
    <row r="28" spans="1:19" ht="12.75" customHeight="1">
      <c r="A28" s="178"/>
      <c r="B28" s="178">
        <v>783</v>
      </c>
      <c r="C28" s="7" t="s">
        <v>129</v>
      </c>
      <c r="D28" s="79">
        <v>0.499</v>
      </c>
      <c r="E28" s="38" t="s">
        <v>130</v>
      </c>
      <c r="F28" s="33">
        <f>+'Seguim Proy inversión 2015'!F31</f>
        <v>0</v>
      </c>
      <c r="G28" s="33">
        <f>+'Seguim Proy inversión 2015'!G31</f>
        <v>0</v>
      </c>
      <c r="H28" s="33">
        <f>+'Seguim Proy inversión 2015'!H31</f>
        <v>0.316</v>
      </c>
      <c r="I28" s="33">
        <f>+'Seguim Proy inversión 2015'!I31</f>
        <v>0.3271</v>
      </c>
      <c r="J28" s="33">
        <f>+'Seguim Proy inversión 2015'!J31</f>
        <v>0.3372</v>
      </c>
      <c r="K28" s="33">
        <f>+'Seguim Proy inversión 2015'!K31</f>
        <v>0.3407</v>
      </c>
      <c r="L28" s="33">
        <f>+'Seguim Proy inversión 2015'!L31</f>
        <v>0.3402</v>
      </c>
      <c r="M28" s="33">
        <f>+'Seguim Proy inversión 2015'!M31</f>
        <v>0.3478</v>
      </c>
      <c r="N28" s="33">
        <f>+'Seguim Proy inversión 2015'!N31</f>
        <v>0.35</v>
      </c>
      <c r="O28" s="33">
        <f>+'Seguim Proy inversión 2015'!O31</f>
        <v>0.37</v>
      </c>
      <c r="P28" s="33">
        <f>+'Seguim Proy inversión 2015'!P31</f>
        <v>0.37</v>
      </c>
      <c r="Q28" s="33">
        <f>+'Seguim Proy inversión 2015'!Q31</f>
        <v>0.375</v>
      </c>
      <c r="R28" s="9">
        <f>MAX(F28,G28,H28,I28,J28,K28,L28,M28,N28,O28,P28,Q28)</f>
        <v>0.375</v>
      </c>
      <c r="S28" s="33">
        <f t="shared" si="0"/>
        <v>0.75150300601202402</v>
      </c>
    </row>
    <row r="29" spans="1:19" ht="12.75" customHeight="1">
      <c r="A29" s="178"/>
      <c r="B29" s="178"/>
      <c r="C29" s="42" t="s">
        <v>131</v>
      </c>
      <c r="D29" s="78">
        <v>300000</v>
      </c>
      <c r="E29" s="38" t="s">
        <v>116</v>
      </c>
      <c r="F29" s="9">
        <f>+'Seguim Proy inversión 2015'!F32</f>
        <v>29366</v>
      </c>
      <c r="G29" s="9">
        <f>+'Seguim Proy inversión 2015'!G32</f>
        <v>19875</v>
      </c>
      <c r="H29" s="9">
        <f>+'Seguim Proy inversión 2015'!H32</f>
        <v>36068</v>
      </c>
      <c r="I29" s="9">
        <f>+'Seguim Proy inversión 2015'!I32</f>
        <v>32406</v>
      </c>
      <c r="J29" s="9">
        <f>+'Seguim Proy inversión 2015'!J32</f>
        <v>29763</v>
      </c>
      <c r="K29" s="9">
        <f>+'Seguim Proy inversión 2015'!K32</f>
        <v>41984</v>
      </c>
      <c r="L29" s="9">
        <f>+'Seguim Proy inversión 2015'!L32</f>
        <v>43561</v>
      </c>
      <c r="M29" s="9">
        <f>+'Seguim Proy inversión 2015'!M32</f>
        <v>43574</v>
      </c>
      <c r="N29" s="9">
        <f>+'Seguim Proy inversión 2015'!N32</f>
        <v>33375</v>
      </c>
      <c r="O29" s="9">
        <f>+'Seguim Proy inversión 2015'!O32</f>
        <v>50811</v>
      </c>
      <c r="P29" s="9">
        <f>+'Seguim Proy inversión 2015'!P32</f>
        <v>28019</v>
      </c>
      <c r="Q29" s="9">
        <f>+'Seguim Proy inversión 2015'!Q32</f>
        <v>28949</v>
      </c>
      <c r="R29" s="9">
        <f>+SUM(F29,G29,H29,I29,J29,K29,L29,M29,N29,O29,P29,Q29)</f>
        <v>417751</v>
      </c>
      <c r="S29" s="33">
        <f t="shared" si="0"/>
        <v>1.3925033333333334</v>
      </c>
    </row>
    <row r="30" spans="1:19" ht="12.75" customHeight="1">
      <c r="A30" s="178"/>
      <c r="B30" s="178"/>
      <c r="C30" s="42" t="s">
        <v>165</v>
      </c>
      <c r="D30" s="78">
        <v>280000</v>
      </c>
      <c r="E30" s="38" t="s">
        <v>116</v>
      </c>
      <c r="F30" s="9">
        <f>+'Seguim Proy inversión 2015'!F33</f>
        <v>5811</v>
      </c>
      <c r="G30" s="9">
        <f>+'Seguim Proy inversión 2015'!G33</f>
        <v>15196</v>
      </c>
      <c r="H30" s="9">
        <f>+'Seguim Proy inversión 2015'!H33</f>
        <v>18669</v>
      </c>
      <c r="I30" s="9">
        <f>+'Seguim Proy inversión 2015'!I33</f>
        <v>85315</v>
      </c>
      <c r="J30" s="9">
        <f>+'Seguim Proy inversión 2015'!J33</f>
        <v>52353</v>
      </c>
      <c r="K30" s="9">
        <f>+'Seguim Proy inversión 2015'!K33</f>
        <v>31566</v>
      </c>
      <c r="L30" s="9">
        <f>+'Seguim Proy inversión 2015'!L33</f>
        <v>45581</v>
      </c>
      <c r="M30" s="9">
        <f>+'Seguim Proy inversión 2015'!M33</f>
        <v>44789</v>
      </c>
      <c r="N30" s="9">
        <f>+'Seguim Proy inversión 2015'!N33</f>
        <v>48919</v>
      </c>
      <c r="O30" s="9">
        <f>+'Seguim Proy inversión 2015'!O33</f>
        <v>44770</v>
      </c>
      <c r="P30" s="9">
        <f>+'Seguim Proy inversión 2015'!P33</f>
        <v>53737</v>
      </c>
      <c r="Q30" s="9">
        <f>+'Seguim Proy inversión 2015'!Q33</f>
        <v>43517</v>
      </c>
      <c r="R30" s="9">
        <f>+SUM(F30,G30,H30,I30,J30,K30,L30,M30,N30,O30,P30,Q30)</f>
        <v>490223</v>
      </c>
      <c r="S30" s="33">
        <f t="shared" si="0"/>
        <v>1.7507964285714286</v>
      </c>
    </row>
    <row r="31" spans="1:19" ht="12.75" customHeight="1">
      <c r="A31" s="178"/>
      <c r="B31" s="7">
        <v>792</v>
      </c>
      <c r="C31" s="7" t="s">
        <v>137</v>
      </c>
      <c r="D31" s="78">
        <v>1</v>
      </c>
      <c r="E31" s="38" t="s">
        <v>138</v>
      </c>
      <c r="F31" s="33">
        <f>+'Seguim Proy inversión 2015'!F37</f>
        <v>0</v>
      </c>
      <c r="G31" s="33">
        <f>+'Seguim Proy inversión 2015'!G37</f>
        <v>0</v>
      </c>
      <c r="H31" s="33">
        <f>+'Seguim Proy inversión 2015'!H37</f>
        <v>0.25</v>
      </c>
      <c r="I31" s="33">
        <f>+'Seguim Proy inversión 2015'!I37</f>
        <v>0.25</v>
      </c>
      <c r="J31" s="33">
        <f>+'Seguim Proy inversión 2015'!J37</f>
        <v>0.25</v>
      </c>
      <c r="K31" s="33">
        <f>+'Seguim Proy inversión 2015'!K37</f>
        <v>0.25</v>
      </c>
      <c r="L31" s="33">
        <f>+'Seguim Proy inversión 2015'!L37</f>
        <v>0.25</v>
      </c>
      <c r="M31" s="33">
        <f>+'Seguim Proy inversión 2015'!M37</f>
        <v>0.25</v>
      </c>
      <c r="N31" s="33">
        <f>+'Seguim Proy inversión 2015'!N37</f>
        <v>0.25</v>
      </c>
      <c r="O31" s="33">
        <f>+'Seguim Proy inversión 2015'!O37</f>
        <v>0.30000000000000004</v>
      </c>
      <c r="P31" s="33">
        <f>+'Seguim Proy inversión 2015'!P37</f>
        <v>0.30000000000000004</v>
      </c>
      <c r="Q31" s="33">
        <f>+'Seguim Proy inversión 2015'!Q37</f>
        <v>0.30000000000000004</v>
      </c>
      <c r="R31" s="9">
        <f>MAX(F31,G31,H31,I31,J31,K31,L31,M31,N31,O31,P31,Q31)</f>
        <v>0.30000000000000004</v>
      </c>
      <c r="S31" s="33">
        <f t="shared" si="0"/>
        <v>0.30000000000000004</v>
      </c>
    </row>
    <row r="32" spans="1:19" ht="12.75" customHeight="1">
      <c r="A32" s="178"/>
      <c r="B32" s="7">
        <v>787</v>
      </c>
      <c r="C32" s="7" t="s">
        <v>141</v>
      </c>
      <c r="D32" s="78">
        <v>4</v>
      </c>
      <c r="E32" s="38" t="s">
        <v>142</v>
      </c>
      <c r="F32" s="9">
        <f>+'Seguim Proy inversión 2015'!F39</f>
        <v>0</v>
      </c>
      <c r="G32" s="9">
        <f>+'Seguim Proy inversión 2015'!G39</f>
        <v>0</v>
      </c>
      <c r="H32" s="9">
        <f>+'Seguim Proy inversión 2015'!H39</f>
        <v>0</v>
      </c>
      <c r="I32" s="9">
        <f>+'Seguim Proy inversión 2015'!I39</f>
        <v>0</v>
      </c>
      <c r="J32" s="9">
        <f>+'Seguim Proy inversión 2015'!J39</f>
        <v>0</v>
      </c>
      <c r="K32" s="9">
        <f>+'Seguim Proy inversión 2015'!K39</f>
        <v>1</v>
      </c>
      <c r="L32" s="9">
        <f>+'Seguim Proy inversión 2015'!L39</f>
        <v>0</v>
      </c>
      <c r="M32" s="9">
        <f>+'Seguim Proy inversión 2015'!M39</f>
        <v>0</v>
      </c>
      <c r="N32" s="9">
        <f>+'Seguim Proy inversión 2015'!N39</f>
        <v>1</v>
      </c>
      <c r="O32" s="9">
        <f>+'Seguim Proy inversión 2015'!O39</f>
        <v>1</v>
      </c>
      <c r="P32" s="9">
        <f>+'Seguim Proy inversión 2015'!P39</f>
        <v>1</v>
      </c>
      <c r="Q32" s="9">
        <f>+'Seguim Proy inversión 2015'!Q39</f>
        <v>1</v>
      </c>
      <c r="R32" s="9">
        <f>MAX(F32,G32,H32,I32,J32,K32,L32,M32,N32,O32,P32,Q32)</f>
        <v>1</v>
      </c>
      <c r="S32" s="33">
        <f t="shared" si="0"/>
        <v>0.25</v>
      </c>
    </row>
    <row r="33" spans="1:19" ht="12.75" customHeight="1">
      <c r="A33" s="178"/>
      <c r="B33" s="178">
        <v>944</v>
      </c>
      <c r="C33" s="7" t="s">
        <v>143</v>
      </c>
      <c r="D33" s="78">
        <v>6</v>
      </c>
      <c r="E33" s="38" t="s">
        <v>144</v>
      </c>
      <c r="F33" s="9">
        <f>+'Seguim Proy inversión 2015'!F40</f>
        <v>0</v>
      </c>
      <c r="G33" s="9">
        <f>+'Seguim Proy inversión 2015'!G40</f>
        <v>2</v>
      </c>
      <c r="H33" s="9">
        <f>+'Seguim Proy inversión 2015'!H40</f>
        <v>2</v>
      </c>
      <c r="I33" s="9">
        <f>+'Seguim Proy inversión 2015'!I40</f>
        <v>2</v>
      </c>
      <c r="J33" s="9">
        <f>+'Seguim Proy inversión 2015'!J40</f>
        <v>3</v>
      </c>
      <c r="K33" s="9">
        <f>+'Seguim Proy inversión 2015'!K40</f>
        <v>4</v>
      </c>
      <c r="L33" s="9">
        <f>+'Seguim Proy inversión 2015'!L40</f>
        <v>4</v>
      </c>
      <c r="M33" s="9">
        <f>+'Seguim Proy inversión 2015'!M40</f>
        <v>5</v>
      </c>
      <c r="N33" s="9">
        <f>+'Seguim Proy inversión 2015'!N40</f>
        <v>5</v>
      </c>
      <c r="O33" s="9">
        <f>+'Seguim Proy inversión 2015'!O40</f>
        <v>5</v>
      </c>
      <c r="P33" s="9">
        <f>+'Seguim Proy inversión 2015'!P40</f>
        <v>6</v>
      </c>
      <c r="Q33" s="9">
        <f>+'Seguim Proy inversión 2015'!Q40</f>
        <v>6</v>
      </c>
      <c r="R33" s="9">
        <f>+'Seguim Proy inversión 2015'!R40</f>
        <v>6</v>
      </c>
      <c r="S33" s="33">
        <f t="shared" si="0"/>
        <v>1</v>
      </c>
    </row>
    <row r="34" spans="1:19" ht="12.75" customHeight="1">
      <c r="A34" s="178"/>
      <c r="B34" s="178"/>
      <c r="C34" s="7" t="s">
        <v>147</v>
      </c>
      <c r="D34" s="78">
        <v>1</v>
      </c>
      <c r="E34" s="38" t="s">
        <v>148</v>
      </c>
      <c r="F34" s="9">
        <f>+'Seguim Proy inversión 2015'!F42</f>
        <v>0</v>
      </c>
      <c r="G34" s="9">
        <f>+'Seguim Proy inversión 2015'!G42</f>
        <v>0</v>
      </c>
      <c r="H34" s="9">
        <f>+'Seguim Proy inversión 2015'!H42</f>
        <v>0</v>
      </c>
      <c r="I34" s="9">
        <f>+'Seguim Proy inversión 2015'!I42</f>
        <v>0</v>
      </c>
      <c r="J34" s="9">
        <f>+'Seguim Proy inversión 2015'!J42</f>
        <v>0</v>
      </c>
      <c r="K34" s="9">
        <f>+'Seguim Proy inversión 2015'!K42</f>
        <v>0</v>
      </c>
      <c r="L34" s="9">
        <f>+'Seguim Proy inversión 2015'!L42</f>
        <v>0</v>
      </c>
      <c r="M34" s="9">
        <f>+'Seguim Proy inversión 2015'!M42</f>
        <v>0</v>
      </c>
      <c r="N34" s="9">
        <f>+'Seguim Proy inversión 2015'!N42</f>
        <v>0</v>
      </c>
      <c r="O34" s="9">
        <f>+'Seguim Proy inversión 2015'!O42</f>
        <v>0</v>
      </c>
      <c r="P34" s="9">
        <f>+'Seguim Proy inversión 2015'!P42</f>
        <v>0</v>
      </c>
      <c r="Q34" s="9">
        <f>+'Seguim Proy inversión 2015'!Q42</f>
        <v>0</v>
      </c>
      <c r="R34" s="9">
        <f>MAX(F34,G34,H34,I34,J34,K34,L34,M34,N34,O34,P34,Q34)</f>
        <v>0</v>
      </c>
      <c r="S34" s="33">
        <f t="shared" si="0"/>
        <v>0</v>
      </c>
    </row>
    <row r="35" spans="1:19" ht="12.75" customHeight="1">
      <c r="A35" s="178"/>
      <c r="B35" s="7">
        <v>784</v>
      </c>
      <c r="C35" s="7" t="s">
        <v>153</v>
      </c>
      <c r="D35" s="80">
        <v>1</v>
      </c>
      <c r="E35" s="38" t="s">
        <v>154</v>
      </c>
      <c r="F35" s="9">
        <f>+'Seguim Proy inversión 2015'!F45</f>
        <v>0</v>
      </c>
      <c r="G35" s="9">
        <f>+'Seguim Proy inversión 2015'!G45</f>
        <v>0</v>
      </c>
      <c r="H35" s="9">
        <f>+'Seguim Proy inversión 2015'!H45</f>
        <v>0.62</v>
      </c>
      <c r="I35" s="9">
        <f>+'Seguim Proy inversión 2015'!I45</f>
        <v>0.62</v>
      </c>
      <c r="J35" s="9">
        <f>+'Seguim Proy inversión 2015'!J45</f>
        <v>0.62</v>
      </c>
      <c r="K35" s="9">
        <f>+'Seguim Proy inversión 2015'!K45</f>
        <v>0.68149999999999999</v>
      </c>
      <c r="L35" s="9">
        <f>+'Seguim Proy inversión 2015'!L45</f>
        <v>0</v>
      </c>
      <c r="M35" s="9">
        <f>+'Seguim Proy inversión 2015'!M45</f>
        <v>0</v>
      </c>
      <c r="N35" s="9">
        <f>+'Seguim Proy inversión 2015'!N45</f>
        <v>0.71399999999999997</v>
      </c>
      <c r="O35" s="33">
        <f>+'Seguim Proy inversión 2015'!O45</f>
        <v>0.71140000000000003</v>
      </c>
      <c r="P35" s="33">
        <f>+'Seguim Proy inversión 2015'!P45</f>
        <v>0.71399999999999997</v>
      </c>
      <c r="Q35" s="33">
        <f>+'Seguim Proy inversión 2015'!Q45</f>
        <v>0.78</v>
      </c>
      <c r="R35" s="9">
        <f>MAX(F35,G35,H35,I35,J35,K35,L35,M35,N35,O35,P35,Q35)</f>
        <v>0.78</v>
      </c>
      <c r="S35" s="33">
        <f t="shared" si="0"/>
        <v>0.78</v>
      </c>
    </row>
    <row r="36" spans="1:19" s="15" customFormat="1" ht="12.75" customHeight="1">
      <c r="A36" s="13"/>
      <c r="B36" s="13"/>
      <c r="C36" s="13"/>
      <c r="D36" s="13"/>
      <c r="E36" s="13"/>
      <c r="F36" s="14">
        <v>0.8</v>
      </c>
      <c r="G36" s="14">
        <v>0.8</v>
      </c>
      <c r="H36" s="14">
        <v>0.8</v>
      </c>
      <c r="I36" s="14">
        <v>0.8</v>
      </c>
      <c r="J36" s="14">
        <v>0.8</v>
      </c>
      <c r="K36" s="14">
        <v>0.8</v>
      </c>
      <c r="L36" s="14">
        <v>0.8</v>
      </c>
      <c r="M36" s="14">
        <v>0.8</v>
      </c>
      <c r="N36" s="14">
        <v>0.8</v>
      </c>
      <c r="O36" s="14">
        <v>0.8</v>
      </c>
      <c r="P36" s="14">
        <v>0.8</v>
      </c>
      <c r="Q36" s="14">
        <v>0.8</v>
      </c>
      <c r="R36" s="14"/>
      <c r="S36" s="34"/>
    </row>
    <row r="37" spans="1:19" ht="30" customHeight="1">
      <c r="A37" s="179" t="s">
        <v>76</v>
      </c>
      <c r="B37" s="179"/>
      <c r="C37" s="179"/>
      <c r="D37" s="179"/>
      <c r="E37" s="179"/>
      <c r="F37" s="179"/>
      <c r="G37" s="179"/>
      <c r="H37" s="179"/>
      <c r="I37" s="179"/>
      <c r="J37" s="179"/>
      <c r="K37" s="179"/>
      <c r="L37" s="179"/>
      <c r="M37" s="179"/>
      <c r="N37" s="181"/>
      <c r="O37" s="181"/>
      <c r="P37" s="181"/>
      <c r="Q37" s="181"/>
      <c r="R37" s="181"/>
      <c r="S37" s="181"/>
    </row>
    <row r="38" spans="1:19" ht="36.6" customHeight="1">
      <c r="A38" s="21"/>
      <c r="B38" s="21"/>
      <c r="C38" s="21"/>
      <c r="D38" s="21"/>
      <c r="E38" s="21"/>
      <c r="F38" s="21"/>
      <c r="G38" s="21"/>
      <c r="H38" s="21"/>
      <c r="I38" s="21"/>
      <c r="J38" s="21"/>
      <c r="K38" s="22"/>
      <c r="L38" s="22"/>
      <c r="M38" s="22"/>
      <c r="N38" s="182" t="s">
        <v>84</v>
      </c>
      <c r="O38" s="182"/>
      <c r="P38" s="182"/>
      <c r="Q38" s="182"/>
      <c r="R38" s="182"/>
      <c r="S38" s="182"/>
    </row>
    <row r="39" spans="1:19" ht="36.6" customHeight="1">
      <c r="A39" s="21"/>
      <c r="B39" s="21"/>
      <c r="C39" s="21"/>
      <c r="D39" s="21"/>
      <c r="E39" s="21"/>
      <c r="F39" s="21"/>
      <c r="G39" s="21"/>
      <c r="H39" s="21"/>
      <c r="I39" s="21"/>
      <c r="J39" s="21"/>
      <c r="K39" s="22"/>
      <c r="L39" s="22"/>
      <c r="M39" s="22"/>
      <c r="N39" s="178" t="s">
        <v>26</v>
      </c>
      <c r="O39" s="178"/>
      <c r="P39" s="178"/>
      <c r="Q39" s="178"/>
      <c r="R39" s="178"/>
      <c r="S39" s="178"/>
    </row>
    <row r="40" spans="1:19" ht="36.6" customHeight="1">
      <c r="A40" s="21"/>
      <c r="B40" s="21"/>
      <c r="C40" s="21"/>
      <c r="D40" s="21"/>
      <c r="E40" s="21"/>
      <c r="F40" s="21"/>
      <c r="G40" s="21"/>
      <c r="H40" s="21"/>
      <c r="I40" s="21"/>
      <c r="J40" s="21"/>
      <c r="K40" s="22"/>
      <c r="L40" s="22"/>
      <c r="M40" s="22"/>
      <c r="N40" s="178" t="s">
        <v>27</v>
      </c>
      <c r="O40" s="178"/>
      <c r="P40" s="178"/>
      <c r="Q40" s="178"/>
      <c r="R40" s="178"/>
      <c r="S40" s="178"/>
    </row>
  </sheetData>
  <sheetProtection selectLockedCells="1" selectUnlockedCells="1"/>
  <mergeCells count="29">
    <mergeCell ref="P10:S10"/>
    <mergeCell ref="A11:F11"/>
    <mergeCell ref="G11:L11"/>
    <mergeCell ref="M11:O11"/>
    <mergeCell ref="P11:S11"/>
    <mergeCell ref="A10:F10"/>
    <mergeCell ref="G10:L10"/>
    <mergeCell ref="M10:O10"/>
    <mergeCell ref="A1:T3"/>
    <mergeCell ref="A4:T6"/>
    <mergeCell ref="A7:S7"/>
    <mergeCell ref="A8:S8"/>
    <mergeCell ref="A9:F9"/>
    <mergeCell ref="G9:L9"/>
    <mergeCell ref="M9:O9"/>
    <mergeCell ref="P9:S9"/>
    <mergeCell ref="N38:S38"/>
    <mergeCell ref="N39:S39"/>
    <mergeCell ref="N40:S40"/>
    <mergeCell ref="A13:S13"/>
    <mergeCell ref="A15:A35"/>
    <mergeCell ref="B15:B16"/>
    <mergeCell ref="B17:B18"/>
    <mergeCell ref="B19:B21"/>
    <mergeCell ref="B28:B30"/>
    <mergeCell ref="B33:B34"/>
    <mergeCell ref="A37:M37"/>
    <mergeCell ref="N37:S37"/>
    <mergeCell ref="B22:B27"/>
  </mergeCells>
  <dataValidations count="2">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75" zoomScaleNormal="75" workbookViewId="0">
      <selection activeCell="L27" sqref="L27"/>
    </sheetView>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8.42578125" style="1" customWidth="1"/>
    <col min="6" max="6" width="10.85546875" style="1" customWidth="1"/>
    <col min="7" max="9" width="10.7109375" style="1" customWidth="1"/>
    <col min="10" max="10" width="11.140625" style="1" customWidth="1"/>
    <col min="11" max="19" width="10.7109375" style="1" customWidth="1"/>
    <col min="20" max="20" width="2.7109375" style="1" customWidth="1"/>
    <col min="21" max="16384" width="11.42578125" style="1"/>
  </cols>
  <sheetData>
    <row r="1" spans="1:256" s="3" customFormat="1" ht="13.9" customHeight="1">
      <c r="A1" s="184" t="s">
        <v>0</v>
      </c>
      <c r="B1" s="184"/>
      <c r="C1" s="184"/>
      <c r="D1" s="184"/>
      <c r="E1" s="184"/>
      <c r="F1" s="184"/>
      <c r="G1" s="184"/>
      <c r="H1" s="184"/>
      <c r="I1" s="184"/>
      <c r="J1" s="184"/>
      <c r="K1" s="184"/>
      <c r="L1" s="184"/>
      <c r="M1" s="184"/>
      <c r="N1" s="184"/>
      <c r="O1" s="184"/>
      <c r="P1" s="184"/>
      <c r="Q1" s="184"/>
      <c r="R1" s="184"/>
      <c r="S1" s="184"/>
      <c r="T1" s="184"/>
    </row>
    <row r="2" spans="1:256" s="3" customFormat="1" ht="13.9" customHeight="1">
      <c r="A2" s="184"/>
      <c r="B2" s="184"/>
      <c r="C2" s="184"/>
      <c r="D2" s="184"/>
      <c r="E2" s="184"/>
      <c r="F2" s="184"/>
      <c r="G2" s="184"/>
      <c r="H2" s="184"/>
      <c r="I2" s="184"/>
      <c r="J2" s="184"/>
      <c r="K2" s="184"/>
      <c r="L2" s="184"/>
      <c r="M2" s="184"/>
      <c r="N2" s="184"/>
      <c r="O2" s="184"/>
      <c r="P2" s="184"/>
      <c r="Q2" s="184"/>
      <c r="R2" s="184"/>
      <c r="S2" s="184"/>
      <c r="T2" s="184"/>
    </row>
    <row r="3" spans="1:256" s="3" customFormat="1" ht="13.9" customHeight="1">
      <c r="A3" s="184"/>
      <c r="B3" s="184"/>
      <c r="C3" s="184"/>
      <c r="D3" s="184"/>
      <c r="E3" s="184"/>
      <c r="F3" s="184"/>
      <c r="G3" s="184"/>
      <c r="H3" s="184"/>
      <c r="I3" s="184"/>
      <c r="J3" s="184"/>
      <c r="K3" s="184"/>
      <c r="L3" s="184"/>
      <c r="M3" s="184"/>
      <c r="N3" s="184"/>
      <c r="O3" s="184"/>
      <c r="P3" s="184"/>
      <c r="Q3" s="184"/>
      <c r="R3" s="184"/>
      <c r="S3" s="184"/>
      <c r="T3" s="184"/>
    </row>
    <row r="4" spans="1:256" s="3" customFormat="1" ht="13.9" customHeight="1">
      <c r="A4" s="184" t="s">
        <v>1</v>
      </c>
      <c r="B4" s="184"/>
      <c r="C4" s="184"/>
      <c r="D4" s="184"/>
      <c r="E4" s="184"/>
      <c r="F4" s="184"/>
      <c r="G4" s="184"/>
      <c r="H4" s="184"/>
      <c r="I4" s="184"/>
      <c r="J4" s="184"/>
      <c r="K4" s="184"/>
      <c r="L4" s="184"/>
      <c r="M4" s="184"/>
      <c r="N4" s="184"/>
      <c r="O4" s="184"/>
      <c r="P4" s="184"/>
      <c r="Q4" s="184"/>
      <c r="R4" s="184"/>
      <c r="S4" s="184"/>
      <c r="T4" s="184"/>
    </row>
    <row r="5" spans="1:256" s="3" customFormat="1" ht="13.9" customHeight="1">
      <c r="A5" s="184"/>
      <c r="B5" s="184"/>
      <c r="C5" s="184"/>
      <c r="D5" s="184"/>
      <c r="E5" s="184"/>
      <c r="F5" s="184"/>
      <c r="G5" s="184"/>
      <c r="H5" s="184"/>
      <c r="I5" s="184"/>
      <c r="J5" s="184"/>
      <c r="K5" s="184"/>
      <c r="L5" s="184"/>
      <c r="M5" s="184"/>
      <c r="N5" s="184"/>
      <c r="O5" s="184"/>
      <c r="P5" s="184"/>
      <c r="Q5" s="184"/>
      <c r="R5" s="184"/>
      <c r="S5" s="184"/>
      <c r="T5" s="184"/>
    </row>
    <row r="6" spans="1:256" s="3" customFormat="1" ht="13.9" customHeight="1">
      <c r="A6" s="184"/>
      <c r="B6" s="184"/>
      <c r="C6" s="184"/>
      <c r="D6" s="184"/>
      <c r="E6" s="184"/>
      <c r="F6" s="184"/>
      <c r="G6" s="184"/>
      <c r="H6" s="184"/>
      <c r="I6" s="184"/>
      <c r="J6" s="184"/>
      <c r="K6" s="184"/>
      <c r="L6" s="184"/>
      <c r="M6" s="184"/>
      <c r="N6" s="184"/>
      <c r="O6" s="184"/>
      <c r="P6" s="184"/>
      <c r="Q6" s="184"/>
      <c r="R6" s="184"/>
      <c r="S6" s="184"/>
      <c r="T6" s="184"/>
    </row>
    <row r="7" spans="1:256" s="3" customFormat="1" ht="12.75" customHeight="1">
      <c r="A7" s="185"/>
      <c r="B7" s="185"/>
      <c r="C7" s="185"/>
      <c r="D7" s="185"/>
      <c r="E7" s="185"/>
      <c r="F7" s="185"/>
      <c r="G7" s="185"/>
      <c r="H7" s="185"/>
      <c r="I7" s="185"/>
      <c r="J7" s="185"/>
      <c r="K7" s="185"/>
      <c r="L7" s="185"/>
      <c r="M7" s="185"/>
      <c r="N7" s="185"/>
      <c r="O7" s="185"/>
      <c r="P7" s="185"/>
      <c r="Q7" s="185"/>
      <c r="R7" s="185"/>
      <c r="S7" s="185"/>
    </row>
    <row r="8" spans="1:256" ht="30" customHeight="1">
      <c r="A8" s="179" t="s">
        <v>2</v>
      </c>
      <c r="B8" s="179"/>
      <c r="C8" s="179"/>
      <c r="D8" s="179"/>
      <c r="E8" s="179"/>
      <c r="F8" s="179"/>
      <c r="G8" s="179"/>
      <c r="H8" s="179"/>
      <c r="I8" s="179"/>
      <c r="J8" s="179"/>
      <c r="K8" s="179"/>
      <c r="L8" s="179"/>
      <c r="M8" s="179"/>
      <c r="N8" s="179"/>
      <c r="O8" s="179"/>
      <c r="P8" s="179"/>
      <c r="Q8" s="179"/>
      <c r="R8" s="179"/>
      <c r="S8" s="179"/>
    </row>
    <row r="9" spans="1:256" ht="42" customHeight="1">
      <c r="A9" s="182" t="s">
        <v>3</v>
      </c>
      <c r="B9" s="182"/>
      <c r="C9" s="182"/>
      <c r="D9" s="182"/>
      <c r="E9" s="182"/>
      <c r="F9" s="182"/>
      <c r="G9" s="183" t="s">
        <v>179</v>
      </c>
      <c r="H9" s="183"/>
      <c r="I9" s="183"/>
      <c r="J9" s="183"/>
      <c r="K9" s="183"/>
      <c r="L9" s="183"/>
      <c r="M9" s="182" t="s">
        <v>5</v>
      </c>
      <c r="N9" s="182"/>
      <c r="O9" s="182"/>
      <c r="P9" s="201" t="s">
        <v>90</v>
      </c>
      <c r="Q9" s="201"/>
      <c r="R9" s="201"/>
      <c r="S9" s="201"/>
    </row>
    <row r="10" spans="1:256" ht="42" customHeight="1">
      <c r="A10" s="182" t="s">
        <v>7</v>
      </c>
      <c r="B10" s="182"/>
      <c r="C10" s="182"/>
      <c r="D10" s="182"/>
      <c r="E10" s="182"/>
      <c r="F10" s="182"/>
      <c r="G10" s="183" t="s">
        <v>8</v>
      </c>
      <c r="H10" s="183"/>
      <c r="I10" s="183"/>
      <c r="J10" s="183"/>
      <c r="K10" s="183"/>
      <c r="L10" s="183"/>
      <c r="M10" s="182" t="s">
        <v>9</v>
      </c>
      <c r="N10" s="182"/>
      <c r="O10" s="182"/>
      <c r="P10" s="201" t="s">
        <v>10</v>
      </c>
      <c r="Q10" s="201"/>
      <c r="R10" s="201"/>
      <c r="S10" s="201"/>
    </row>
    <row r="11" spans="1:256" ht="52.9" customHeight="1">
      <c r="A11" s="182" t="s">
        <v>11</v>
      </c>
      <c r="B11" s="182"/>
      <c r="C11" s="182"/>
      <c r="D11" s="182"/>
      <c r="E11" s="182"/>
      <c r="F11" s="182"/>
      <c r="G11" s="183" t="s">
        <v>91</v>
      </c>
      <c r="H11" s="183"/>
      <c r="I11" s="183"/>
      <c r="J11" s="183"/>
      <c r="K11" s="183"/>
      <c r="L11" s="183"/>
      <c r="M11" s="182" t="s">
        <v>32</v>
      </c>
      <c r="N11" s="182"/>
      <c r="O11" s="182"/>
      <c r="P11" s="201" t="s">
        <v>33</v>
      </c>
      <c r="Q11" s="201"/>
      <c r="R11" s="201"/>
      <c r="S11" s="201"/>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52</v>
      </c>
      <c r="B13" s="179"/>
      <c r="C13" s="179"/>
      <c r="D13" s="179"/>
      <c r="E13" s="179"/>
      <c r="F13" s="179"/>
      <c r="G13" s="179"/>
      <c r="H13" s="179"/>
      <c r="I13" s="179"/>
      <c r="J13" s="179"/>
      <c r="K13" s="179"/>
      <c r="L13" s="179"/>
      <c r="M13" s="179"/>
      <c r="N13" s="179"/>
      <c r="O13" s="179"/>
      <c r="P13" s="179"/>
      <c r="Q13" s="179"/>
      <c r="R13" s="179"/>
      <c r="S13" s="179"/>
    </row>
    <row r="14" spans="1:256" ht="30" customHeight="1">
      <c r="A14" s="4" t="s">
        <v>53</v>
      </c>
      <c r="B14" s="4" t="s">
        <v>93</v>
      </c>
      <c r="C14" s="6" t="s">
        <v>94</v>
      </c>
      <c r="D14" s="6" t="s">
        <v>180</v>
      </c>
      <c r="E14" s="6" t="s">
        <v>96</v>
      </c>
      <c r="F14" s="6" t="s">
        <v>55</v>
      </c>
      <c r="G14" s="4" t="s">
        <v>56</v>
      </c>
      <c r="H14" s="4" t="s">
        <v>57</v>
      </c>
      <c r="I14" s="4" t="s">
        <v>58</v>
      </c>
      <c r="J14" s="4" t="s">
        <v>59</v>
      </c>
      <c r="K14" s="4" t="s">
        <v>60</v>
      </c>
      <c r="L14" s="4" t="s">
        <v>61</v>
      </c>
      <c r="M14" s="4" t="s">
        <v>62</v>
      </c>
      <c r="N14" s="4" t="s">
        <v>63</v>
      </c>
      <c r="O14" s="4" t="s">
        <v>64</v>
      </c>
      <c r="P14" s="4" t="s">
        <v>65</v>
      </c>
      <c r="Q14" s="4" t="s">
        <v>66</v>
      </c>
      <c r="R14" s="4" t="s">
        <v>181</v>
      </c>
      <c r="S14" s="4" t="s">
        <v>182</v>
      </c>
    </row>
    <row r="15" spans="1:256" ht="15" customHeight="1">
      <c r="A15" s="178">
        <v>2016</v>
      </c>
      <c r="B15" s="178">
        <v>914</v>
      </c>
      <c r="C15" s="7" t="s">
        <v>100</v>
      </c>
      <c r="D15" s="77">
        <v>92000</v>
      </c>
      <c r="E15" s="38" t="s">
        <v>101</v>
      </c>
      <c r="F15" s="9">
        <f>+'Seguim Proy inversión 2017'!F15</f>
        <v>0</v>
      </c>
      <c r="G15" s="9">
        <f>+'Seguim Proy inversión 2017'!G15</f>
        <v>221</v>
      </c>
      <c r="H15" s="9">
        <f>+'Seguim Proy inversión 2017'!H15</f>
        <v>15463</v>
      </c>
      <c r="I15" s="9">
        <f>+'Seguim Proy inversión 2017'!I15</f>
        <v>17677</v>
      </c>
      <c r="J15" s="9">
        <f>+'Seguim Proy inversión 2017'!J15</f>
        <v>9524</v>
      </c>
      <c r="K15" s="9">
        <f>+'Seguim Proy inversión 2017'!K15</f>
        <v>0</v>
      </c>
      <c r="L15" s="9">
        <f>+'Seguim Proy inversión 2017'!L15</f>
        <v>0</v>
      </c>
      <c r="M15" s="9">
        <f>+'Seguim Proy inversión 2017'!M15</f>
        <v>0</v>
      </c>
      <c r="N15" s="9">
        <f>+'Seguim Proy inversión 2017'!N15</f>
        <v>0</v>
      </c>
      <c r="O15" s="9">
        <f>+'Seguim Proy inversión 2017'!O15</f>
        <v>0</v>
      </c>
      <c r="P15" s="9">
        <f>+'Seguim Proy inversión 2017'!P15</f>
        <v>0</v>
      </c>
      <c r="Q15" s="9">
        <f>+'Seguim Proy inversión 2017'!Q15</f>
        <v>0</v>
      </c>
      <c r="R15" s="9">
        <f>+SUM(F15,G15,H15,I15,J15,K15,L15,M15,N15,O15,P15,Q15)</f>
        <v>42885</v>
      </c>
      <c r="S15" s="33">
        <f t="shared" ref="S15:S35" si="0">+R15/D15</f>
        <v>0.46614130434782608</v>
      </c>
    </row>
    <row r="16" spans="1:256" ht="28.5" customHeight="1">
      <c r="A16" s="178"/>
      <c r="B16" s="178"/>
      <c r="C16" s="7" t="s">
        <v>102</v>
      </c>
      <c r="D16" s="77">
        <v>50</v>
      </c>
      <c r="E16" s="38" t="s">
        <v>103</v>
      </c>
      <c r="F16" s="9">
        <f>+'Seguim Proy inversión 2017'!F16</f>
        <v>78</v>
      </c>
      <c r="G16" s="9">
        <f>+'Seguim Proy inversión 2017'!G16</f>
        <v>78</v>
      </c>
      <c r="H16" s="9">
        <f>+'Seguim Proy inversión 2017'!H16</f>
        <v>83</v>
      </c>
      <c r="I16" s="9">
        <f>+'Seguim Proy inversión 2017'!I16</f>
        <v>83</v>
      </c>
      <c r="J16" s="9">
        <f>+'Seguim Proy inversión 2017'!J16</f>
        <v>85</v>
      </c>
      <c r="K16" s="9">
        <f>+'Seguim Proy inversión 2017'!K16</f>
        <v>0</v>
      </c>
      <c r="L16" s="9">
        <f>+'Seguim Proy inversión 2017'!L16</f>
        <v>0</v>
      </c>
      <c r="M16" s="9">
        <f>+'Seguim Proy inversión 2017'!M16</f>
        <v>0</v>
      </c>
      <c r="N16" s="9">
        <f>+'Seguim Proy inversión 2017'!N16</f>
        <v>0</v>
      </c>
      <c r="O16" s="9">
        <f>+'Seguim Proy inversión 2017'!O16</f>
        <v>0</v>
      </c>
      <c r="P16" s="9">
        <f>+'Seguim Proy inversión 2017'!P16</f>
        <v>0</v>
      </c>
      <c r="Q16" s="9">
        <f>+'Seguim Proy inversión 2017'!Q16</f>
        <v>0</v>
      </c>
      <c r="R16" s="9">
        <f>MAX(F16,G16,H16,I16,J16,K16,L16,M16,N16,O16,P16,Q16)</f>
        <v>85</v>
      </c>
      <c r="S16" s="33">
        <f t="shared" si="0"/>
        <v>1.7</v>
      </c>
    </row>
    <row r="17" spans="1:19" ht="30" customHeight="1">
      <c r="A17" s="178"/>
      <c r="B17" s="178">
        <v>915</v>
      </c>
      <c r="C17" s="7" t="s">
        <v>104</v>
      </c>
      <c r="D17" s="77">
        <v>65216</v>
      </c>
      <c r="E17" s="38" t="s">
        <v>105</v>
      </c>
      <c r="F17" s="9">
        <f>+'Seguim Proy inversión 2017'!F17</f>
        <v>0</v>
      </c>
      <c r="G17" s="9">
        <f>+'Seguim Proy inversión 2017'!G17</f>
        <v>39093</v>
      </c>
      <c r="H17" s="9">
        <f>+'Seguim Proy inversión 2017'!H17</f>
        <v>40947</v>
      </c>
      <c r="I17" s="9">
        <f>+'Seguim Proy inversión 2017'!I17</f>
        <v>47122</v>
      </c>
      <c r="J17" s="9">
        <f>+'Seguim Proy inversión 2017'!J17</f>
        <v>48935</v>
      </c>
      <c r="K17" s="9">
        <f>+'Seguim Proy inversión 2017'!K17</f>
        <v>0</v>
      </c>
      <c r="L17" s="9">
        <f>+'Seguim Proy inversión 2017'!L17</f>
        <v>0</v>
      </c>
      <c r="M17" s="9">
        <f>+'Seguim Proy inversión 2017'!M17</f>
        <v>0</v>
      </c>
      <c r="N17" s="9">
        <f>+'Seguim Proy inversión 2017'!N17</f>
        <v>0</v>
      </c>
      <c r="O17" s="9">
        <f>+'Seguim Proy inversión 2017'!O17</f>
        <v>0</v>
      </c>
      <c r="P17" s="9">
        <f>+'Seguim Proy inversión 2017'!P17</f>
        <v>0</v>
      </c>
      <c r="Q17" s="9">
        <f>+'Seguim Proy inversión 2017'!Q17</f>
        <v>0</v>
      </c>
      <c r="R17" s="9">
        <f>MAX(F17,G17,H17,I17,J17,K17,L17,M17,N17,O17,P17,Q17)</f>
        <v>48935</v>
      </c>
      <c r="S17" s="33">
        <f t="shared" si="0"/>
        <v>0.75035267419038276</v>
      </c>
    </row>
    <row r="18" spans="1:19" ht="30" customHeight="1">
      <c r="A18" s="178"/>
      <c r="B18" s="178"/>
      <c r="C18" s="7" t="s">
        <v>106</v>
      </c>
      <c r="D18" s="77">
        <v>150</v>
      </c>
      <c r="E18" s="38" t="s">
        <v>107</v>
      </c>
      <c r="F18" s="9">
        <f>+'Seguim Proy inversión 2017'!F18</f>
        <v>0</v>
      </c>
      <c r="G18" s="9">
        <f>+'Seguim Proy inversión 2017'!G18</f>
        <v>0</v>
      </c>
      <c r="H18" s="9">
        <f>+'Seguim Proy inversión 2017'!H18</f>
        <v>12</v>
      </c>
      <c r="I18" s="9">
        <f>+'Seguim Proy inversión 2017'!I18</f>
        <v>10</v>
      </c>
      <c r="J18" s="9">
        <f>+'Seguim Proy inversión 2017'!J18</f>
        <v>14</v>
      </c>
      <c r="K18" s="9">
        <f>+'Seguim Proy inversión 2017'!K18</f>
        <v>0</v>
      </c>
      <c r="L18" s="9">
        <f>+'Seguim Proy inversión 2017'!L18</f>
        <v>0</v>
      </c>
      <c r="M18" s="9">
        <f>+'Seguim Proy inversión 2017'!M18</f>
        <v>0</v>
      </c>
      <c r="N18" s="9">
        <f>+'Seguim Proy inversión 2017'!N18</f>
        <v>0</v>
      </c>
      <c r="O18" s="9">
        <f>+'Seguim Proy inversión 2017'!O18</f>
        <v>0</v>
      </c>
      <c r="P18" s="9">
        <f>+'Seguim Proy inversión 2017'!P18</f>
        <v>0</v>
      </c>
      <c r="Q18" s="9">
        <f>+'Seguim Proy inversión 2017'!Q18</f>
        <v>0</v>
      </c>
      <c r="R18" s="9">
        <f>+SUM(F18,G18,H18,I18,J18,K18,L18,M18,N18,O18,P18,Q18)</f>
        <v>36</v>
      </c>
      <c r="S18" s="33">
        <f t="shared" si="0"/>
        <v>0.24</v>
      </c>
    </row>
    <row r="19" spans="1:19" ht="15" customHeight="1">
      <c r="A19" s="178"/>
      <c r="B19" s="178">
        <v>772</v>
      </c>
      <c r="C19" s="7" t="s">
        <v>108</v>
      </c>
      <c r="D19" s="77">
        <v>6</v>
      </c>
      <c r="E19" s="38" t="s">
        <v>109</v>
      </c>
      <c r="F19" s="9">
        <f>+'Seguim Proy inversión 2017'!F19</f>
        <v>2</v>
      </c>
      <c r="G19" s="9">
        <f>+'Seguim Proy inversión 2017'!G19</f>
        <v>0</v>
      </c>
      <c r="H19" s="9">
        <f>+'Seguim Proy inversión 2017'!H19</f>
        <v>0</v>
      </c>
      <c r="I19" s="9">
        <f>+'Seguim Proy inversión 2017'!I19</f>
        <v>1</v>
      </c>
      <c r="J19" s="9">
        <f>+'Seguim Proy inversión 2017'!J19</f>
        <v>0</v>
      </c>
      <c r="K19" s="9">
        <f>+'Seguim Proy inversión 2017'!K19</f>
        <v>0</v>
      </c>
      <c r="L19" s="9">
        <f>+'Seguim Proy inversión 2017'!L19</f>
        <v>0</v>
      </c>
      <c r="M19" s="9">
        <f>+'Seguim Proy inversión 2017'!M19</f>
        <v>0</v>
      </c>
      <c r="N19" s="9">
        <f>+'Seguim Proy inversión 2017'!N19</f>
        <v>0</v>
      </c>
      <c r="O19" s="9">
        <f>+'Seguim Proy inversión 2017'!O19</f>
        <v>0</v>
      </c>
      <c r="P19" s="9">
        <f>+'Seguim Proy inversión 2017'!P19</f>
        <v>0</v>
      </c>
      <c r="Q19" s="9">
        <f>+'Seguim Proy inversión 2017'!Q19</f>
        <v>0</v>
      </c>
      <c r="R19" s="9">
        <f>MAX(F19,G19,H19,I19,J19,K19,L19,M19,N19,O19,P19,Q19)</f>
        <v>2</v>
      </c>
      <c r="S19" s="33">
        <f t="shared" si="0"/>
        <v>0.33333333333333331</v>
      </c>
    </row>
    <row r="20" spans="1:19" ht="15" customHeight="1">
      <c r="A20" s="178"/>
      <c r="B20" s="178"/>
      <c r="C20" s="7" t="s">
        <v>110</v>
      </c>
      <c r="D20" s="77">
        <v>100</v>
      </c>
      <c r="E20" s="38" t="s">
        <v>111</v>
      </c>
      <c r="F20" s="9">
        <f>+'Seguim Proy inversión 2017'!F20</f>
        <v>0</v>
      </c>
      <c r="G20" s="9">
        <f>+'Seguim Proy inversión 2017'!G20</f>
        <v>0</v>
      </c>
      <c r="H20" s="9">
        <f>+'Seguim Proy inversión 2017'!H20</f>
        <v>3</v>
      </c>
      <c r="I20" s="9">
        <f>+'Seguim Proy inversión 2017'!I20</f>
        <v>2</v>
      </c>
      <c r="J20" s="9">
        <f>+'Seguim Proy inversión 2017'!J20</f>
        <v>0</v>
      </c>
      <c r="K20" s="9">
        <f>+'Seguim Proy inversión 2017'!K20</f>
        <v>0</v>
      </c>
      <c r="L20" s="9">
        <f>+'Seguim Proy inversión 2017'!L20</f>
        <v>0</v>
      </c>
      <c r="M20" s="9">
        <f>+'Seguim Proy inversión 2017'!M20</f>
        <v>0</v>
      </c>
      <c r="N20" s="9">
        <f>+'Seguim Proy inversión 2017'!N20</f>
        <v>0</v>
      </c>
      <c r="O20" s="9">
        <f>+'Seguim Proy inversión 2017'!O20</f>
        <v>0</v>
      </c>
      <c r="P20" s="9">
        <f>+'Seguim Proy inversión 2017'!P20</f>
        <v>0</v>
      </c>
      <c r="Q20" s="9">
        <f>+'Seguim Proy inversión 2017'!Q20</f>
        <v>0</v>
      </c>
      <c r="R20" s="9">
        <f>+SUM(F20,G20,H20,I20,J20,K20,L20,M20,N20,O20,P20,Q20)</f>
        <v>5</v>
      </c>
      <c r="S20" s="33">
        <f t="shared" si="0"/>
        <v>0.05</v>
      </c>
    </row>
    <row r="21" spans="1:19" ht="15" customHeight="1">
      <c r="A21" s="178"/>
      <c r="B21" s="178"/>
      <c r="C21" s="7" t="s">
        <v>110</v>
      </c>
      <c r="D21" s="77">
        <v>5</v>
      </c>
      <c r="E21" s="38" t="s">
        <v>112</v>
      </c>
      <c r="F21" s="9">
        <f>+'Seguim Proy inversión 2017'!F21</f>
        <v>0</v>
      </c>
      <c r="G21" s="9">
        <f>+'Seguim Proy inversión 2017'!G21</f>
        <v>0</v>
      </c>
      <c r="H21" s="9">
        <f>+'Seguim Proy inversión 2017'!H21</f>
        <v>0</v>
      </c>
      <c r="I21" s="9">
        <f>+'Seguim Proy inversión 2017'!I21</f>
        <v>0</v>
      </c>
      <c r="J21" s="9">
        <f>+'Seguim Proy inversión 2017'!J21</f>
        <v>0</v>
      </c>
      <c r="K21" s="9">
        <f>+'Seguim Proy inversión 2017'!K21</f>
        <v>0</v>
      </c>
      <c r="L21" s="9">
        <f>+'Seguim Proy inversión 2017'!L21</f>
        <v>0</v>
      </c>
      <c r="M21" s="9">
        <f>+'Seguim Proy inversión 2017'!M21</f>
        <v>0</v>
      </c>
      <c r="N21" s="9">
        <f>+'Seguim Proy inversión 2017'!N21</f>
        <v>0</v>
      </c>
      <c r="O21" s="9">
        <f>+'Seguim Proy inversión 2017'!O21</f>
        <v>0</v>
      </c>
      <c r="P21" s="9">
        <f>+'Seguim Proy inversión 2017'!P21</f>
        <v>0</v>
      </c>
      <c r="Q21" s="9">
        <f>+'Seguim Proy inversión 2017'!Q21</f>
        <v>0</v>
      </c>
      <c r="R21" s="9">
        <f>MAX(F21,G21,H21,I21,J21,K21,L21,M21,N21,O21,P21,Q21)</f>
        <v>0</v>
      </c>
      <c r="S21" s="33">
        <f t="shared" si="0"/>
        <v>0</v>
      </c>
    </row>
    <row r="22" spans="1:19" ht="15" customHeight="1">
      <c r="A22" s="178"/>
      <c r="B22" s="178">
        <v>795</v>
      </c>
      <c r="C22" s="7" t="s">
        <v>113</v>
      </c>
      <c r="D22" s="78">
        <v>1140000</v>
      </c>
      <c r="E22" s="38" t="s">
        <v>114</v>
      </c>
      <c r="F22" s="9">
        <f>+'Seguim Proy inversión 2017'!F22</f>
        <v>12088</v>
      </c>
      <c r="G22" s="9">
        <f>+'Seguim Proy inversión 2017'!G22</f>
        <v>5317</v>
      </c>
      <c r="H22" s="9">
        <f>+'Seguim Proy inversión 2017'!H22</f>
        <v>216500</v>
      </c>
      <c r="I22" s="9">
        <f>+'Seguim Proy inversión 2017'!I22</f>
        <v>29071</v>
      </c>
      <c r="J22" s="9">
        <f>+'Seguim Proy inversión 2017'!J22</f>
        <v>14811</v>
      </c>
      <c r="K22" s="9">
        <f>+'Seguim Proy inversión 2017'!K22</f>
        <v>0</v>
      </c>
      <c r="L22" s="9">
        <f>+'Seguim Proy inversión 2017'!L22</f>
        <v>0</v>
      </c>
      <c r="M22" s="9">
        <f>+'Seguim Proy inversión 2017'!M22</f>
        <v>0</v>
      </c>
      <c r="N22" s="9">
        <f>+'Seguim Proy inversión 2017'!N22</f>
        <v>0</v>
      </c>
      <c r="O22" s="9">
        <f>+'Seguim Proy inversión 2017'!O22</f>
        <v>0</v>
      </c>
      <c r="P22" s="9">
        <f>+'Seguim Proy inversión 2017'!P22</f>
        <v>0</v>
      </c>
      <c r="Q22" s="9">
        <f>+'Seguim Proy inversión 2017'!Q22</f>
        <v>0</v>
      </c>
      <c r="R22" s="9">
        <f>+SUM(F22,G22,H22,I22,J22,K22,L22,M22,N22,O22,P22,Q22)</f>
        <v>277787</v>
      </c>
      <c r="S22" s="33">
        <f t="shared" si="0"/>
        <v>0.24367280701754385</v>
      </c>
    </row>
    <row r="23" spans="1:19" ht="12.75" customHeight="1">
      <c r="A23" s="178"/>
      <c r="B23" s="178"/>
      <c r="C23" s="7" t="s">
        <v>110</v>
      </c>
      <c r="D23" s="78">
        <v>2486</v>
      </c>
      <c r="E23" s="38" t="s">
        <v>119</v>
      </c>
      <c r="F23" s="9">
        <f>+'Seguim Proy inversión 2017'!F25</f>
        <v>0</v>
      </c>
      <c r="G23" s="9">
        <f>+'Seguim Proy inversión 2017'!G25</f>
        <v>0</v>
      </c>
      <c r="H23" s="9">
        <f>+'Seguim Proy inversión 2017'!H25</f>
        <v>10</v>
      </c>
      <c r="I23" s="9">
        <f>+'Seguim Proy inversión 2017'!I25</f>
        <v>33</v>
      </c>
      <c r="J23" s="9">
        <f>+'Seguim Proy inversión 2017'!J25</f>
        <v>123</v>
      </c>
      <c r="K23" s="9">
        <f>+'Seguim Proy inversión 2017'!K25</f>
        <v>0</v>
      </c>
      <c r="L23" s="9">
        <f>+'Seguim Proy inversión 2017'!L25</f>
        <v>0</v>
      </c>
      <c r="M23" s="9">
        <f>+'Seguim Proy inversión 2017'!M25</f>
        <v>0</v>
      </c>
      <c r="N23" s="9">
        <f>+'Seguim Proy inversión 2017'!N25</f>
        <v>0</v>
      </c>
      <c r="O23" s="9">
        <f>+'Seguim Proy inversión 2017'!O25</f>
        <v>0</v>
      </c>
      <c r="P23" s="9">
        <f>+'Seguim Proy inversión 2017'!P25</f>
        <v>0</v>
      </c>
      <c r="Q23" s="9">
        <f>+'Seguim Proy inversión 2017'!Q25</f>
        <v>0</v>
      </c>
      <c r="R23" s="9">
        <f>MAX(F23,G23,H23,I23,J23,K23,L23,M23,N23,O23,P23,Q23)</f>
        <v>123</v>
      </c>
      <c r="S23" s="33">
        <f t="shared" si="0"/>
        <v>4.9477071600965407E-2</v>
      </c>
    </row>
    <row r="24" spans="1:19" ht="12.75" customHeight="1">
      <c r="A24" s="178"/>
      <c r="B24" s="178"/>
      <c r="C24" s="7" t="s">
        <v>183</v>
      </c>
      <c r="D24" s="79">
        <v>0.2</v>
      </c>
      <c r="E24" s="38" t="s">
        <v>184</v>
      </c>
      <c r="F24" s="9">
        <f>+'Seguim Proy inversión 2017'!F26</f>
        <v>0</v>
      </c>
      <c r="G24" s="9">
        <f>+'Seguim Proy inversión 2017'!G26</f>
        <v>0</v>
      </c>
      <c r="H24" s="9">
        <f>+'Seguim Proy inversión 2017'!H26</f>
        <v>0</v>
      </c>
      <c r="I24" s="9">
        <f>+'Seguim Proy inversión 2017'!I26</f>
        <v>0</v>
      </c>
      <c r="J24" s="33">
        <f>+'Seguim Proy inversión 2017'!J26</f>
        <v>0.06</v>
      </c>
      <c r="K24" s="33">
        <f>+'Seguim Proy inversión 2017'!K26</f>
        <v>0</v>
      </c>
      <c r="L24" s="33">
        <f>+'Seguim Proy inversión 2017'!L26</f>
        <v>0</v>
      </c>
      <c r="M24" s="33">
        <f>+'Seguim Proy inversión 2017'!M26</f>
        <v>0</v>
      </c>
      <c r="N24" s="33">
        <f>+'Seguim Proy inversión 2017'!N26</f>
        <v>0</v>
      </c>
      <c r="O24" s="33">
        <f>+'Seguim Proy inversión 2017'!O26</f>
        <v>0</v>
      </c>
      <c r="P24" s="33">
        <f>+'Seguim Proy inversión 2017'!P26</f>
        <v>0</v>
      </c>
      <c r="Q24" s="33">
        <f>+'Seguim Proy inversión 2017'!Q26</f>
        <v>0</v>
      </c>
      <c r="R24" s="9">
        <f>MAX(F24,G24,H24,I24,J24,K24,L24,M24,N24,O24,P24,Q24)</f>
        <v>0.06</v>
      </c>
      <c r="S24" s="33">
        <f t="shared" si="0"/>
        <v>0.3</v>
      </c>
    </row>
    <row r="25" spans="1:19" ht="12.75" customHeight="1">
      <c r="A25" s="178"/>
      <c r="B25" s="178"/>
      <c r="C25" s="42" t="s">
        <v>122</v>
      </c>
      <c r="D25" s="78">
        <v>303000</v>
      </c>
      <c r="E25" s="38" t="s">
        <v>116</v>
      </c>
      <c r="F25" s="9">
        <f>+'Seguim Proy inversión 2017'!F27</f>
        <v>3393</v>
      </c>
      <c r="G25" s="9">
        <f>+'Seguim Proy inversión 2017'!G27</f>
        <v>2869</v>
      </c>
      <c r="H25" s="9">
        <f>+'Seguim Proy inversión 2017'!H27</f>
        <v>4109</v>
      </c>
      <c r="I25" s="9">
        <f>+'Seguim Proy inversión 2017'!I27</f>
        <v>17065</v>
      </c>
      <c r="J25" s="9">
        <f>+'Seguim Proy inversión 2017'!J27</f>
        <v>4023</v>
      </c>
      <c r="K25" s="9">
        <f>+'Seguim Proy inversión 2017'!K27</f>
        <v>0</v>
      </c>
      <c r="L25" s="9">
        <f>+'Seguim Proy inversión 2017'!L27</f>
        <v>0</v>
      </c>
      <c r="M25" s="9">
        <f>+'Seguim Proy inversión 2017'!M27</f>
        <v>0</v>
      </c>
      <c r="N25" s="9">
        <f>+'Seguim Proy inversión 2017'!N27</f>
        <v>0</v>
      </c>
      <c r="O25" s="9">
        <f>+'Seguim Proy inversión 2017'!O27</f>
        <v>0</v>
      </c>
      <c r="P25" s="9">
        <f>+'Seguim Proy inversión 2017'!P27</f>
        <v>0</v>
      </c>
      <c r="Q25" s="9">
        <f>+'Seguim Proy inversión 2017'!Q27</f>
        <v>0</v>
      </c>
      <c r="R25" s="9">
        <f>+SUM(F25,G25,H25,I25,J25,K25,L25,M25,N25,O25,P25,Q25)</f>
        <v>31459</v>
      </c>
      <c r="S25" s="33">
        <f t="shared" si="0"/>
        <v>0.10382508250825083</v>
      </c>
    </row>
    <row r="26" spans="1:19" ht="12.75" customHeight="1">
      <c r="A26" s="178"/>
      <c r="B26" s="178"/>
      <c r="C26" s="42" t="s">
        <v>123</v>
      </c>
      <c r="D26" s="78">
        <v>50</v>
      </c>
      <c r="E26" s="38" t="s">
        <v>124</v>
      </c>
      <c r="F26" s="9">
        <f>+'Seguim Proy inversión 2017'!F28</f>
        <v>0</v>
      </c>
      <c r="G26" s="9">
        <f>+'Seguim Proy inversión 2017'!G28</f>
        <v>0</v>
      </c>
      <c r="H26" s="9">
        <f>+'Seguim Proy inversión 2017'!H28</f>
        <v>0</v>
      </c>
      <c r="I26" s="9">
        <f>+'Seguim Proy inversión 2017'!I28</f>
        <v>0</v>
      </c>
      <c r="J26" s="9">
        <f>+'Seguim Proy inversión 2017'!J28</f>
        <v>0</v>
      </c>
      <c r="K26" s="9">
        <f>+'Seguim Proy inversión 2017'!K28</f>
        <v>0</v>
      </c>
      <c r="L26" s="9">
        <f>+'Seguim Proy inversión 2017'!L28</f>
        <v>0</v>
      </c>
      <c r="M26" s="9">
        <f>+'Seguim Proy inversión 2017'!M28</f>
        <v>0</v>
      </c>
      <c r="N26" s="9">
        <f>+'Seguim Proy inversión 2017'!N28</f>
        <v>0</v>
      </c>
      <c r="O26" s="9">
        <f>+'Seguim Proy inversión 2017'!O28</f>
        <v>0</v>
      </c>
      <c r="P26" s="9">
        <f>+'Seguim Proy inversión 2017'!P28</f>
        <v>0</v>
      </c>
      <c r="Q26" s="9">
        <f>+'Seguim Proy inversión 2017'!Q28</f>
        <v>0</v>
      </c>
      <c r="R26" s="9">
        <f>MAX(F26,G26,H26,I26,J26,K26,L26,M26,N26,O26,P26,Q26)</f>
        <v>0</v>
      </c>
      <c r="S26" s="33">
        <f t="shared" si="0"/>
        <v>0</v>
      </c>
    </row>
    <row r="27" spans="1:19" ht="12.75" customHeight="1">
      <c r="A27" s="178"/>
      <c r="B27" s="178"/>
      <c r="C27" s="42" t="s">
        <v>164</v>
      </c>
      <c r="D27" s="78">
        <v>7</v>
      </c>
      <c r="E27" s="38" t="s">
        <v>126</v>
      </c>
      <c r="F27" s="9">
        <f>+'Seguim Proy inversión 2017'!F29</f>
        <v>0</v>
      </c>
      <c r="G27" s="9">
        <f>+'Seguim Proy inversión 2017'!G29</f>
        <v>0</v>
      </c>
      <c r="H27" s="9">
        <f>+'Seguim Proy inversión 2017'!H29</f>
        <v>0</v>
      </c>
      <c r="I27" s="9">
        <f>+'Seguim Proy inversión 2017'!I29</f>
        <v>0</v>
      </c>
      <c r="J27" s="9">
        <f>+'Seguim Proy inversión 2017'!J29</f>
        <v>0</v>
      </c>
      <c r="K27" s="9">
        <f>+'Seguim Proy inversión 2017'!K29</f>
        <v>0</v>
      </c>
      <c r="L27" s="9">
        <f>+'Seguim Proy inversión 2017'!L29</f>
        <v>0</v>
      </c>
      <c r="M27" s="9">
        <f>+'Seguim Proy inversión 2017'!M29</f>
        <v>0</v>
      </c>
      <c r="N27" s="9">
        <f>+'Seguim Proy inversión 2017'!N29</f>
        <v>0</v>
      </c>
      <c r="O27" s="9">
        <f>+'Seguim Proy inversión 2017'!O29</f>
        <v>0</v>
      </c>
      <c r="P27" s="9">
        <f>+'Seguim Proy inversión 2017'!P29</f>
        <v>0</v>
      </c>
      <c r="Q27" s="9">
        <f>+'Seguim Proy inversión 2017'!Q29</f>
        <v>0</v>
      </c>
      <c r="R27" s="9">
        <f>MAX(F27,G27,H27,I27,J27,K27,L27,M27,N27,O27,P27,Q27)</f>
        <v>0</v>
      </c>
      <c r="S27" s="33">
        <f t="shared" si="0"/>
        <v>0</v>
      </c>
    </row>
    <row r="28" spans="1:19" ht="12.75" customHeight="1">
      <c r="A28" s="178"/>
      <c r="B28" s="178">
        <v>783</v>
      </c>
      <c r="C28" s="7" t="s">
        <v>129</v>
      </c>
      <c r="D28" s="79">
        <v>0.499</v>
      </c>
      <c r="E28" s="38" t="s">
        <v>130</v>
      </c>
      <c r="F28" s="9">
        <f>+'Seguim Proy inversión 2017'!F31</f>
        <v>0</v>
      </c>
      <c r="G28" s="9">
        <f>+'Seguim Proy inversión 2017'!G31</f>
        <v>0</v>
      </c>
      <c r="H28" s="9">
        <f>+'Seguim Proy inversión 2017'!H31</f>
        <v>0</v>
      </c>
      <c r="I28" s="9">
        <f>+'Seguim Proy inversión 2017'!I31</f>
        <v>0</v>
      </c>
      <c r="J28" s="33">
        <f>+'Seguim Proy inversión 2017'!J31</f>
        <v>0.41560000000000002</v>
      </c>
      <c r="K28" s="9">
        <f>+'Seguim Proy inversión 2017'!K31</f>
        <v>0</v>
      </c>
      <c r="L28" s="9">
        <f>+'Seguim Proy inversión 2017'!L31</f>
        <v>0</v>
      </c>
      <c r="M28" s="9">
        <f>+'Seguim Proy inversión 2017'!M31</f>
        <v>0</v>
      </c>
      <c r="N28" s="9">
        <f>+'Seguim Proy inversión 2017'!N31</f>
        <v>0</v>
      </c>
      <c r="O28" s="9">
        <f>+'Seguim Proy inversión 2017'!O31</f>
        <v>0</v>
      </c>
      <c r="P28" s="9">
        <f>+'Seguim Proy inversión 2017'!P31</f>
        <v>0</v>
      </c>
      <c r="Q28" s="9">
        <f>+'Seguim Proy inversión 2017'!Q31</f>
        <v>0</v>
      </c>
      <c r="R28" s="9">
        <f>MAX(F28,G28,H28,I28,J28,K28,L28,M28,N28,O28,P28,Q28)</f>
        <v>0.41560000000000002</v>
      </c>
      <c r="S28" s="33">
        <f t="shared" si="0"/>
        <v>0.83286573146292586</v>
      </c>
    </row>
    <row r="29" spans="1:19" ht="12.75" customHeight="1">
      <c r="A29" s="178"/>
      <c r="B29" s="178"/>
      <c r="C29" s="42" t="s">
        <v>131</v>
      </c>
      <c r="D29" s="78">
        <v>300000</v>
      </c>
      <c r="E29" s="38" t="s">
        <v>116</v>
      </c>
      <c r="F29" s="9">
        <f>+'Seguim Proy inversión 2017'!F32</f>
        <v>32506</v>
      </c>
      <c r="G29" s="9">
        <f>+'Seguim Proy inversión 2017'!G32</f>
        <v>16161</v>
      </c>
      <c r="H29" s="9">
        <f>+'Seguim Proy inversión 2017'!H32</f>
        <v>39015</v>
      </c>
      <c r="I29" s="9">
        <f>+'Seguim Proy inversión 2017'!I32</f>
        <v>23974</v>
      </c>
      <c r="J29" s="9">
        <f>+'Seguim Proy inversión 2017'!J32</f>
        <v>31864</v>
      </c>
      <c r="K29" s="9">
        <f>+'Seguim Proy inversión 2017'!K32</f>
        <v>0</v>
      </c>
      <c r="L29" s="9">
        <f>+'Seguim Proy inversión 2017'!L32</f>
        <v>0</v>
      </c>
      <c r="M29" s="9">
        <f>+'Seguim Proy inversión 2017'!M32</f>
        <v>0</v>
      </c>
      <c r="N29" s="9">
        <f>+'Seguim Proy inversión 2017'!N32</f>
        <v>0</v>
      </c>
      <c r="O29" s="9">
        <f>+'Seguim Proy inversión 2017'!O32</f>
        <v>0</v>
      </c>
      <c r="P29" s="9">
        <f>+'Seguim Proy inversión 2017'!P32</f>
        <v>0</v>
      </c>
      <c r="Q29" s="9">
        <f>+'Seguim Proy inversión 2017'!Q32</f>
        <v>0</v>
      </c>
      <c r="R29" s="9">
        <f>+SUM(F29,G29,H29,I29,J29,K29,L29,M29,N29,O29,P29,Q29)</f>
        <v>143520</v>
      </c>
      <c r="S29" s="33">
        <f t="shared" si="0"/>
        <v>0.47839999999999999</v>
      </c>
    </row>
    <row r="30" spans="1:19" ht="12.75" customHeight="1">
      <c r="A30" s="178"/>
      <c r="B30" s="178"/>
      <c r="C30" s="42" t="s">
        <v>165</v>
      </c>
      <c r="D30" s="78">
        <v>280000</v>
      </c>
      <c r="E30" s="38" t="s">
        <v>116</v>
      </c>
      <c r="F30" s="9">
        <f>+'Seguim Proy inversión 2017'!F33</f>
        <v>2326</v>
      </c>
      <c r="G30" s="9">
        <f>+'Seguim Proy inversión 2017'!G33</f>
        <v>6542</v>
      </c>
      <c r="H30" s="9">
        <f>+'Seguim Proy inversión 2017'!H33</f>
        <v>43776</v>
      </c>
      <c r="I30" s="9">
        <f>+'Seguim Proy inversión 2017'!I33</f>
        <v>42504</v>
      </c>
      <c r="J30" s="9">
        <f>+'Seguim Proy inversión 2017'!J33</f>
        <v>33937</v>
      </c>
      <c r="K30" s="9">
        <f>+'Seguim Proy inversión 2017'!K33</f>
        <v>0</v>
      </c>
      <c r="L30" s="9">
        <f>+'Seguim Proy inversión 2017'!L33</f>
        <v>0</v>
      </c>
      <c r="M30" s="9">
        <f>+'Seguim Proy inversión 2017'!M33</f>
        <v>0</v>
      </c>
      <c r="N30" s="9">
        <f>+'Seguim Proy inversión 2017'!N33</f>
        <v>0</v>
      </c>
      <c r="O30" s="9">
        <f>+'Seguim Proy inversión 2017'!O33</f>
        <v>0</v>
      </c>
      <c r="P30" s="9">
        <f>+'Seguim Proy inversión 2017'!P33</f>
        <v>0</v>
      </c>
      <c r="Q30" s="9">
        <f>+'Seguim Proy inversión 2017'!Q33</f>
        <v>0</v>
      </c>
      <c r="R30" s="9">
        <f>+SUM(F30,G30,H30,I30,J30,K30,L30,M30,N30,O30,P30,Q30)</f>
        <v>129085</v>
      </c>
      <c r="S30" s="33">
        <f t="shared" si="0"/>
        <v>0.46101785714285715</v>
      </c>
    </row>
    <row r="31" spans="1:19" ht="12.75" customHeight="1">
      <c r="A31" s="178"/>
      <c r="B31" s="7">
        <v>792</v>
      </c>
      <c r="C31" s="7" t="s">
        <v>137</v>
      </c>
      <c r="D31" s="78">
        <v>1</v>
      </c>
      <c r="E31" s="38" t="s">
        <v>138</v>
      </c>
      <c r="F31" s="9">
        <f>+'Seguim Proy inversión 2017'!F37</f>
        <v>0</v>
      </c>
      <c r="G31" s="9">
        <f>+'Seguim Proy inversión 2017'!G37</f>
        <v>0</v>
      </c>
      <c r="H31" s="9">
        <f>+'Seguim Proy inversión 2017'!H37</f>
        <v>0</v>
      </c>
      <c r="I31" s="9">
        <f>+'Seguim Proy inversión 2017'!I37</f>
        <v>0</v>
      </c>
      <c r="J31" s="33">
        <f>+'Seguim Proy inversión 2017'!J37</f>
        <v>0.34</v>
      </c>
      <c r="K31" s="9">
        <f>+'Seguim Proy inversión 2017'!K37</f>
        <v>0</v>
      </c>
      <c r="L31" s="9">
        <f>+'Seguim Proy inversión 2017'!L37</f>
        <v>0</v>
      </c>
      <c r="M31" s="9">
        <f>+'Seguim Proy inversión 2017'!M37</f>
        <v>0</v>
      </c>
      <c r="N31" s="9">
        <f>+'Seguim Proy inversión 2017'!N37</f>
        <v>0</v>
      </c>
      <c r="O31" s="9">
        <f>+'Seguim Proy inversión 2017'!O37</f>
        <v>0</v>
      </c>
      <c r="P31" s="9">
        <f>+'Seguim Proy inversión 2017'!P37</f>
        <v>0</v>
      </c>
      <c r="Q31" s="9">
        <f>+'Seguim Proy inversión 2017'!Q37</f>
        <v>0</v>
      </c>
      <c r="R31" s="9">
        <f>MAX(F31,G31,H31,I31,J31,K31,L31,M31,N31,O31,P31,Q31)</f>
        <v>0.34</v>
      </c>
      <c r="S31" s="33">
        <f t="shared" si="0"/>
        <v>0.34</v>
      </c>
    </row>
    <row r="32" spans="1:19" ht="12.75" customHeight="1">
      <c r="A32" s="178"/>
      <c r="B32" s="7">
        <v>787</v>
      </c>
      <c r="C32" s="7" t="s">
        <v>141</v>
      </c>
      <c r="D32" s="78">
        <v>6</v>
      </c>
      <c r="E32" s="38" t="s">
        <v>142</v>
      </c>
      <c r="F32" s="9">
        <f>+'Seguim Proy inversión 2017'!F39</f>
        <v>0</v>
      </c>
      <c r="G32" s="9">
        <f>+'Seguim Proy inversión 2017'!G39</f>
        <v>0</v>
      </c>
      <c r="H32" s="9">
        <f>+'Seguim Proy inversión 2017'!H39</f>
        <v>0</v>
      </c>
      <c r="I32" s="9">
        <v>0</v>
      </c>
      <c r="J32" s="9">
        <f>+'Seguim Proy inversión 2017'!J39</f>
        <v>0</v>
      </c>
      <c r="K32" s="9">
        <f>+'Seguim Proy inversión 2017'!K39</f>
        <v>0</v>
      </c>
      <c r="L32" s="9">
        <f>+'Seguim Proy inversión 2017'!L39</f>
        <v>0</v>
      </c>
      <c r="M32" s="9">
        <f>+'Seguim Proy inversión 2017'!M39</f>
        <v>0</v>
      </c>
      <c r="N32" s="9">
        <f>+'Seguim Proy inversión 2017'!N39</f>
        <v>0</v>
      </c>
      <c r="O32" s="9">
        <f>+'Seguim Proy inversión 2017'!O39</f>
        <v>0</v>
      </c>
      <c r="P32" s="9">
        <f>+'Seguim Proy inversión 2017'!P39</f>
        <v>0</v>
      </c>
      <c r="Q32" s="9">
        <f>+'Seguim Proy inversión 2017'!Q39</f>
        <v>0</v>
      </c>
      <c r="R32" s="9">
        <f>MAX(F32,G32,H32,I32,J32,K32,L32,M32,N32,O32,P32,Q32)</f>
        <v>0</v>
      </c>
      <c r="S32" s="33">
        <f t="shared" si="0"/>
        <v>0</v>
      </c>
    </row>
    <row r="33" spans="1:19" ht="12.75" customHeight="1">
      <c r="A33" s="178"/>
      <c r="B33" s="178">
        <v>944</v>
      </c>
      <c r="C33" s="7" t="s">
        <v>143</v>
      </c>
      <c r="D33" s="78">
        <v>6</v>
      </c>
      <c r="E33" s="38" t="s">
        <v>144</v>
      </c>
      <c r="F33" s="9">
        <f>+'Seguim Proy inversión 2017'!F40</f>
        <v>0</v>
      </c>
      <c r="G33" s="9">
        <f>+'Seguim Proy inversión 2017'!G40</f>
        <v>0</v>
      </c>
      <c r="H33" s="9">
        <f>+'Seguim Proy inversión 2017'!H40</f>
        <v>0</v>
      </c>
      <c r="I33" s="9">
        <f>+'Seguim Proy inversión 2017'!I40</f>
        <v>3</v>
      </c>
      <c r="J33" s="9">
        <f>+'Seguim Proy inversión 2017'!J40</f>
        <v>3</v>
      </c>
      <c r="K33" s="9">
        <f>+'Seguim Proy inversión 2017'!K40</f>
        <v>0</v>
      </c>
      <c r="L33" s="9">
        <f>+'Seguim Proy inversión 2017'!L40</f>
        <v>0</v>
      </c>
      <c r="M33" s="9">
        <f>+'Seguim Proy inversión 2017'!M40</f>
        <v>0</v>
      </c>
      <c r="N33" s="9">
        <f>+'Seguim Proy inversión 2017'!N40</f>
        <v>0</v>
      </c>
      <c r="O33" s="9">
        <f>+'Seguim Proy inversión 2017'!O40</f>
        <v>0</v>
      </c>
      <c r="P33" s="9">
        <f>+'Seguim Proy inversión 2017'!P40</f>
        <v>0</v>
      </c>
      <c r="Q33" s="9">
        <f>+'Seguim Proy inversión 2017'!Q40</f>
        <v>0</v>
      </c>
      <c r="R33" s="9">
        <f>+SUM(F33,G33,H33,I33,J33,K33,L33,M33,N33,O33,P33,Q33)</f>
        <v>6</v>
      </c>
      <c r="S33" s="33">
        <f t="shared" si="0"/>
        <v>1</v>
      </c>
    </row>
    <row r="34" spans="1:19" ht="12.75" customHeight="1">
      <c r="A34" s="178"/>
      <c r="B34" s="178"/>
      <c r="C34" s="7" t="s">
        <v>147</v>
      </c>
      <c r="D34" s="78">
        <v>1</v>
      </c>
      <c r="E34" s="38" t="s">
        <v>148</v>
      </c>
      <c r="F34" s="9">
        <f>+'Seguim Proy inversión 2017'!F42</f>
        <v>0</v>
      </c>
      <c r="G34" s="9">
        <f>+'Seguim Proy inversión 2017'!G42</f>
        <v>0</v>
      </c>
      <c r="H34" s="9">
        <f>+'Seguim Proy inversión 2017'!H42</f>
        <v>0</v>
      </c>
      <c r="I34" s="9">
        <f>+'Seguim Proy inversión 2017'!I42</f>
        <v>0</v>
      </c>
      <c r="J34" s="9">
        <f>+'Seguim Proy inversión 2017'!J42</f>
        <v>0</v>
      </c>
      <c r="K34" s="9">
        <f>+'Seguim Proy inversión 2017'!K42</f>
        <v>0</v>
      </c>
      <c r="L34" s="9">
        <f>+'Seguim Proy inversión 2017'!L42</f>
        <v>0</v>
      </c>
      <c r="M34" s="9">
        <f>+'Seguim Proy inversión 2017'!M42</f>
        <v>0</v>
      </c>
      <c r="N34" s="9">
        <f>+'Seguim Proy inversión 2017'!N42</f>
        <v>0</v>
      </c>
      <c r="O34" s="9">
        <f>+'Seguim Proy inversión 2017'!O42</f>
        <v>0</v>
      </c>
      <c r="P34" s="9">
        <f>+'Seguim Proy inversión 2017'!P42</f>
        <v>0</v>
      </c>
      <c r="Q34" s="9">
        <f>+'Seguim Proy inversión 2017'!Q42</f>
        <v>0</v>
      </c>
      <c r="R34" s="9">
        <f>MAX(F34,G34,H34,I34,J34,K34,L34,M34,N34,O34,P34,Q34)</f>
        <v>0</v>
      </c>
      <c r="S34" s="33">
        <f t="shared" si="0"/>
        <v>0</v>
      </c>
    </row>
    <row r="35" spans="1:19" ht="12.75" customHeight="1">
      <c r="A35" s="178"/>
      <c r="B35" s="7">
        <v>784</v>
      </c>
      <c r="C35" s="7" t="s">
        <v>153</v>
      </c>
      <c r="D35" s="80">
        <v>1</v>
      </c>
      <c r="E35" s="38" t="s">
        <v>154</v>
      </c>
      <c r="F35" s="9">
        <f>+'Seguim Proy inversión 2017'!F45</f>
        <v>0</v>
      </c>
      <c r="G35" s="9">
        <f>+'Seguim Proy inversión 2017'!G45</f>
        <v>0</v>
      </c>
      <c r="H35" s="9">
        <f>+'Seguim Proy inversión 2017'!H45</f>
        <v>0.78</v>
      </c>
      <c r="I35" s="9">
        <f>+'Seguim Proy inversión 2017'!I45</f>
        <v>0.78</v>
      </c>
      <c r="J35" s="9">
        <f>+'Seguim Proy inversión 2017'!J45</f>
        <v>0.81</v>
      </c>
      <c r="K35" s="9">
        <f>+'Seguim Proy inversión 2017'!K45</f>
        <v>0</v>
      </c>
      <c r="L35" s="9">
        <f>+'Seguim Proy inversión 2017'!L45</f>
        <v>0</v>
      </c>
      <c r="M35" s="9">
        <f>+'Seguim Proy inversión 2017'!M45</f>
        <v>0</v>
      </c>
      <c r="N35" s="9">
        <f>+'Seguim Proy inversión 2017'!N45</f>
        <v>0</v>
      </c>
      <c r="O35" s="9">
        <f>+'Seguim Proy inversión 2017'!O45</f>
        <v>0</v>
      </c>
      <c r="P35" s="9">
        <f>+'Seguim Proy inversión 2017'!P45</f>
        <v>0</v>
      </c>
      <c r="Q35" s="9">
        <f>+'Seguim Proy inversión 2017'!Q45</f>
        <v>0</v>
      </c>
      <c r="R35" s="9">
        <f>MAX(F35,G35,H35,I35,J35,K35,L35,M35,N35,O35,P35,Q35)</f>
        <v>0.81</v>
      </c>
      <c r="S35" s="33">
        <f t="shared" si="0"/>
        <v>0.81</v>
      </c>
    </row>
    <row r="36" spans="1:19" s="15" customFormat="1" ht="12.75" customHeight="1">
      <c r="A36" s="13"/>
      <c r="B36" s="13"/>
      <c r="C36" s="13"/>
      <c r="D36" s="13"/>
      <c r="E36" s="13"/>
      <c r="F36" s="14">
        <v>0.8</v>
      </c>
      <c r="G36" s="14">
        <v>0.8</v>
      </c>
      <c r="H36" s="14">
        <v>0.8</v>
      </c>
      <c r="I36" s="14">
        <v>0.8</v>
      </c>
      <c r="J36" s="14">
        <v>0.8</v>
      </c>
      <c r="K36" s="14">
        <v>0.8</v>
      </c>
      <c r="L36" s="14">
        <v>0.8</v>
      </c>
      <c r="M36" s="14">
        <v>0.8</v>
      </c>
      <c r="N36" s="14">
        <v>0.8</v>
      </c>
      <c r="O36" s="14">
        <v>0.8</v>
      </c>
      <c r="P36" s="14">
        <v>0.8</v>
      </c>
      <c r="Q36" s="14">
        <v>0.8</v>
      </c>
      <c r="R36" s="14"/>
      <c r="S36" s="34"/>
    </row>
    <row r="37" spans="1:19" ht="30" customHeight="1">
      <c r="A37" s="179" t="s">
        <v>76</v>
      </c>
      <c r="B37" s="179"/>
      <c r="C37" s="179"/>
      <c r="D37" s="179"/>
      <c r="E37" s="179"/>
      <c r="F37" s="179"/>
      <c r="G37" s="179"/>
      <c r="H37" s="179"/>
      <c r="I37" s="179"/>
      <c r="J37" s="179"/>
      <c r="K37" s="179"/>
      <c r="L37" s="179"/>
      <c r="M37" s="179"/>
      <c r="N37" s="181"/>
      <c r="O37" s="181"/>
      <c r="P37" s="181"/>
      <c r="Q37" s="181"/>
      <c r="R37" s="181"/>
      <c r="S37" s="181"/>
    </row>
    <row r="38" spans="1:19" ht="36.6" customHeight="1">
      <c r="A38" s="21"/>
      <c r="B38" s="21"/>
      <c r="C38" s="21"/>
      <c r="D38" s="21"/>
      <c r="E38" s="21"/>
      <c r="F38" s="21"/>
      <c r="G38" s="21"/>
      <c r="H38" s="21"/>
      <c r="I38" s="21"/>
      <c r="J38" s="21"/>
      <c r="K38" s="22"/>
      <c r="L38" s="22"/>
      <c r="M38" s="22"/>
      <c r="N38" s="182" t="s">
        <v>84</v>
      </c>
      <c r="O38" s="182"/>
      <c r="P38" s="182"/>
      <c r="Q38" s="182"/>
      <c r="R38" s="182"/>
      <c r="S38" s="182"/>
    </row>
    <row r="39" spans="1:19" ht="36.6" customHeight="1">
      <c r="A39" s="21"/>
      <c r="B39" s="21"/>
      <c r="C39" s="21"/>
      <c r="D39" s="21"/>
      <c r="E39" s="21"/>
      <c r="F39" s="21"/>
      <c r="G39" s="21"/>
      <c r="H39" s="21"/>
      <c r="I39" s="21"/>
      <c r="J39" s="21"/>
      <c r="K39" s="22"/>
      <c r="L39" s="22"/>
      <c r="M39" s="22"/>
      <c r="N39" s="178" t="s">
        <v>26</v>
      </c>
      <c r="O39" s="178"/>
      <c r="P39" s="178"/>
      <c r="Q39" s="178"/>
      <c r="R39" s="178"/>
      <c r="S39" s="178"/>
    </row>
    <row r="40" spans="1:19" ht="36.6" customHeight="1">
      <c r="A40" s="21"/>
      <c r="B40" s="21"/>
      <c r="C40" s="21"/>
      <c r="D40" s="21"/>
      <c r="E40" s="21"/>
      <c r="F40" s="21"/>
      <c r="G40" s="21"/>
      <c r="H40" s="21"/>
      <c r="I40" s="21"/>
      <c r="J40" s="21"/>
      <c r="K40" s="22"/>
      <c r="L40" s="22"/>
      <c r="M40" s="22"/>
      <c r="N40" s="178" t="s">
        <v>27</v>
      </c>
      <c r="O40" s="178"/>
      <c r="P40" s="178"/>
      <c r="Q40" s="178"/>
      <c r="R40" s="178"/>
      <c r="S40" s="178"/>
    </row>
  </sheetData>
  <sheetProtection selectLockedCells="1" selectUnlockedCells="1"/>
  <mergeCells count="29">
    <mergeCell ref="P10:S10"/>
    <mergeCell ref="A11:F11"/>
    <mergeCell ref="G11:L11"/>
    <mergeCell ref="M11:O11"/>
    <mergeCell ref="P11:S11"/>
    <mergeCell ref="A10:F10"/>
    <mergeCell ref="G10:L10"/>
    <mergeCell ref="M10:O10"/>
    <mergeCell ref="A1:T3"/>
    <mergeCell ref="A4:T6"/>
    <mergeCell ref="A7:S7"/>
    <mergeCell ref="A8:S8"/>
    <mergeCell ref="A9:F9"/>
    <mergeCell ref="G9:L9"/>
    <mergeCell ref="M9:O9"/>
    <mergeCell ref="P9:S9"/>
    <mergeCell ref="N38:S38"/>
    <mergeCell ref="N39:S39"/>
    <mergeCell ref="N40:S40"/>
    <mergeCell ref="A13:S13"/>
    <mergeCell ref="A15:A35"/>
    <mergeCell ref="B15:B16"/>
    <mergeCell ref="B17:B18"/>
    <mergeCell ref="B19:B21"/>
    <mergeCell ref="B28:B30"/>
    <mergeCell ref="B33:B34"/>
    <mergeCell ref="A37:M37"/>
    <mergeCell ref="N37:S37"/>
    <mergeCell ref="B22:B27"/>
  </mergeCells>
  <dataValidations count="2">
    <dataValidation type="list" operator="equal" allowBlank="1" showErrorMessage="1" sqref="P9">
      <formula1>"EFICACIA,EFICIENCIA,EFECTIVIDAD"</formula1>
      <formula2>0</formula2>
    </dataValidation>
    <dataValidation type="list" operator="equal" allowBlank="1" showErrorMessage="1" sqref="P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topLeftCell="A10" zoomScale="75" zoomScaleNormal="75" workbookViewId="0">
      <selection activeCell="K14" sqref="K14"/>
    </sheetView>
  </sheetViews>
  <sheetFormatPr baseColWidth="10" defaultRowHeight="14.65" customHeight="1"/>
  <cols>
    <col min="1" max="1" width="10.7109375" style="1" customWidth="1"/>
    <col min="2" max="2" width="9.140625" style="1" customWidth="1"/>
    <col min="3" max="3" width="19.42578125" style="1" customWidth="1"/>
    <col min="4" max="4" width="16.140625" style="1" customWidth="1"/>
    <col min="5" max="5" width="19.5703125" style="1" customWidth="1"/>
    <col min="6" max="6" width="26.5703125" style="1" customWidth="1"/>
    <col min="7" max="11" width="13.28515625" style="1" customWidth="1"/>
    <col min="12" max="12" width="15.5703125" style="1" customWidth="1"/>
    <col min="13" max="13" width="10.7109375" style="1" customWidth="1"/>
    <col min="14" max="14" width="2.7109375" style="1" customWidth="1"/>
    <col min="15" max="16384" width="11.42578125" style="1"/>
  </cols>
  <sheetData>
    <row r="1" spans="1:256" s="3" customFormat="1" ht="13.9" customHeight="1">
      <c r="A1" s="184" t="s">
        <v>0</v>
      </c>
      <c r="B1" s="184"/>
      <c r="C1" s="184"/>
      <c r="D1" s="184"/>
      <c r="E1" s="184"/>
      <c r="F1" s="184"/>
      <c r="G1" s="184"/>
      <c r="H1" s="184"/>
      <c r="I1" s="184"/>
      <c r="J1" s="184"/>
      <c r="K1" s="184"/>
      <c r="L1" s="184"/>
      <c r="M1" s="184"/>
      <c r="N1" s="184"/>
    </row>
    <row r="2" spans="1:256" s="3" customFormat="1" ht="13.9" customHeight="1">
      <c r="A2" s="184"/>
      <c r="B2" s="184"/>
      <c r="C2" s="184"/>
      <c r="D2" s="184"/>
      <c r="E2" s="184"/>
      <c r="F2" s="184"/>
      <c r="G2" s="184"/>
      <c r="H2" s="184"/>
      <c r="I2" s="184"/>
      <c r="J2" s="184"/>
      <c r="K2" s="184"/>
      <c r="L2" s="184"/>
      <c r="M2" s="184"/>
      <c r="N2" s="184"/>
    </row>
    <row r="3" spans="1:256" s="3" customFormat="1" ht="13.9" customHeight="1">
      <c r="A3" s="184"/>
      <c r="B3" s="184"/>
      <c r="C3" s="184"/>
      <c r="D3" s="184"/>
      <c r="E3" s="184"/>
      <c r="F3" s="184"/>
      <c r="G3" s="184"/>
      <c r="H3" s="184"/>
      <c r="I3" s="184"/>
      <c r="J3" s="184"/>
      <c r="K3" s="184"/>
      <c r="L3" s="184"/>
      <c r="M3" s="184"/>
      <c r="N3" s="184"/>
    </row>
    <row r="4" spans="1:256" s="3" customFormat="1" ht="13.9" customHeight="1">
      <c r="A4" s="184" t="s">
        <v>1</v>
      </c>
      <c r="B4" s="184"/>
      <c r="C4" s="184"/>
      <c r="D4" s="184"/>
      <c r="E4" s="184"/>
      <c r="F4" s="184"/>
      <c r="G4" s="184"/>
      <c r="H4" s="184"/>
      <c r="I4" s="184"/>
      <c r="J4" s="184"/>
      <c r="K4" s="184"/>
      <c r="L4" s="184"/>
      <c r="M4" s="184"/>
      <c r="N4" s="184"/>
    </row>
    <row r="5" spans="1:256" s="3" customFormat="1" ht="13.9" customHeight="1">
      <c r="A5" s="184"/>
      <c r="B5" s="184"/>
      <c r="C5" s="184"/>
      <c r="D5" s="184"/>
      <c r="E5" s="184"/>
      <c r="F5" s="184"/>
      <c r="G5" s="184"/>
      <c r="H5" s="184"/>
      <c r="I5" s="184"/>
      <c r="J5" s="184"/>
      <c r="K5" s="184"/>
      <c r="L5" s="184"/>
      <c r="M5" s="184"/>
      <c r="N5" s="184"/>
    </row>
    <row r="6" spans="1:256" s="3" customFormat="1" ht="13.9" customHeight="1">
      <c r="A6" s="184"/>
      <c r="B6" s="184"/>
      <c r="C6" s="184"/>
      <c r="D6" s="184"/>
      <c r="E6" s="184"/>
      <c r="F6" s="184"/>
      <c r="G6" s="184"/>
      <c r="H6" s="184"/>
      <c r="I6" s="184"/>
      <c r="J6" s="184"/>
      <c r="K6" s="184"/>
      <c r="L6" s="184"/>
      <c r="M6" s="184"/>
      <c r="N6" s="184"/>
    </row>
    <row r="7" spans="1:256" s="3" customFormat="1" ht="12.75" customHeight="1">
      <c r="A7" s="185"/>
      <c r="B7" s="185"/>
      <c r="C7" s="185"/>
      <c r="D7" s="185"/>
      <c r="E7" s="185"/>
      <c r="F7" s="185"/>
      <c r="G7" s="185"/>
      <c r="H7" s="185"/>
      <c r="I7" s="185"/>
      <c r="J7" s="185"/>
      <c r="K7" s="185"/>
      <c r="L7" s="185"/>
      <c r="M7" s="185"/>
    </row>
    <row r="8" spans="1:256" ht="30" customHeight="1">
      <c r="A8" s="179" t="s">
        <v>2</v>
      </c>
      <c r="B8" s="179"/>
      <c r="C8" s="179"/>
      <c r="D8" s="179"/>
      <c r="E8" s="179"/>
      <c r="F8" s="179"/>
      <c r="G8" s="179"/>
      <c r="H8" s="179"/>
      <c r="I8" s="179"/>
      <c r="J8" s="179"/>
      <c r="K8" s="179"/>
      <c r="L8" s="179"/>
      <c r="M8" s="179"/>
    </row>
    <row r="9" spans="1:256" ht="42" customHeight="1">
      <c r="A9" s="182" t="s">
        <v>3</v>
      </c>
      <c r="B9" s="182"/>
      <c r="C9" s="182"/>
      <c r="D9" s="182"/>
      <c r="E9" s="182"/>
      <c r="F9" s="183" t="s">
        <v>179</v>
      </c>
      <c r="G9" s="183"/>
      <c r="H9" s="183"/>
      <c r="I9" s="182" t="s">
        <v>5</v>
      </c>
      <c r="J9" s="182"/>
      <c r="K9" s="201" t="s">
        <v>90</v>
      </c>
      <c r="L9" s="201"/>
      <c r="M9" s="201"/>
    </row>
    <row r="10" spans="1:256" ht="42" customHeight="1">
      <c r="A10" s="182" t="s">
        <v>7</v>
      </c>
      <c r="B10" s="182"/>
      <c r="C10" s="182"/>
      <c r="D10" s="182"/>
      <c r="E10" s="182"/>
      <c r="F10" s="183" t="s">
        <v>8</v>
      </c>
      <c r="G10" s="183"/>
      <c r="H10" s="183"/>
      <c r="I10" s="182" t="s">
        <v>9</v>
      </c>
      <c r="J10" s="182"/>
      <c r="K10" s="201" t="s">
        <v>10</v>
      </c>
      <c r="L10" s="201"/>
      <c r="M10" s="201"/>
    </row>
    <row r="11" spans="1:256" ht="52.9" customHeight="1">
      <c r="A11" s="182" t="s">
        <v>11</v>
      </c>
      <c r="B11" s="182"/>
      <c r="C11" s="182"/>
      <c r="D11" s="182"/>
      <c r="E11" s="182"/>
      <c r="F11" s="183" t="s">
        <v>91</v>
      </c>
      <c r="G11" s="183"/>
      <c r="H11" s="183"/>
      <c r="I11" s="182" t="s">
        <v>32</v>
      </c>
      <c r="J11" s="182"/>
      <c r="K11" s="201" t="s">
        <v>33</v>
      </c>
      <c r="L11" s="201"/>
      <c r="M11" s="201"/>
    </row>
    <row r="12" spans="1:256" ht="6.7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179" t="s">
        <v>52</v>
      </c>
      <c r="B13" s="179"/>
      <c r="C13" s="179"/>
      <c r="D13" s="179"/>
      <c r="E13" s="179"/>
      <c r="F13" s="179"/>
      <c r="G13" s="179"/>
      <c r="H13" s="179"/>
      <c r="I13" s="179"/>
      <c r="J13" s="179"/>
      <c r="K13" s="179"/>
      <c r="L13" s="179"/>
      <c r="M13" s="179"/>
    </row>
    <row r="14" spans="1:256" ht="30" customHeight="1">
      <c r="A14" s="4" t="s">
        <v>53</v>
      </c>
      <c r="B14" s="4" t="s">
        <v>93</v>
      </c>
      <c r="C14" s="6" t="s">
        <v>94</v>
      </c>
      <c r="D14" s="6" t="s">
        <v>180</v>
      </c>
      <c r="E14" s="6" t="s">
        <v>96</v>
      </c>
      <c r="F14" s="6" t="s">
        <v>185</v>
      </c>
      <c r="G14" s="4">
        <v>2016</v>
      </c>
      <c r="H14" s="4">
        <v>2017</v>
      </c>
      <c r="I14" s="4">
        <v>2018</v>
      </c>
      <c r="J14" s="4">
        <v>2019</v>
      </c>
      <c r="K14" s="4">
        <v>2020</v>
      </c>
      <c r="L14" s="4" t="s">
        <v>181</v>
      </c>
      <c r="M14" s="4" t="s">
        <v>182</v>
      </c>
    </row>
    <row r="15" spans="1:256" ht="15" customHeight="1">
      <c r="A15" s="178" t="s">
        <v>445</v>
      </c>
      <c r="B15" s="178">
        <v>914</v>
      </c>
      <c r="C15" s="7" t="s">
        <v>100</v>
      </c>
      <c r="D15" s="77">
        <v>92000</v>
      </c>
      <c r="E15" s="38" t="s">
        <v>101</v>
      </c>
      <c r="F15" s="9" t="s">
        <v>186</v>
      </c>
      <c r="G15" s="32">
        <v>0</v>
      </c>
      <c r="H15" s="32">
        <v>31330</v>
      </c>
      <c r="I15" s="32">
        <v>46575</v>
      </c>
      <c r="J15" s="32">
        <f>+'Seguim Avance Metas PDD 2015'!R15</f>
        <v>80027</v>
      </c>
      <c r="K15" s="81">
        <f>+'Seguim Avance Metas PDD 2017'!R15</f>
        <v>42885</v>
      </c>
      <c r="L15" s="32">
        <f>+K15</f>
        <v>42885</v>
      </c>
      <c r="M15" s="33">
        <f t="shared" ref="M15:M23" si="0">+L15/D15</f>
        <v>0.46614130434782608</v>
      </c>
    </row>
    <row r="16" spans="1:256" ht="28.5" customHeight="1">
      <c r="A16" s="178"/>
      <c r="B16" s="178"/>
      <c r="C16" s="7" t="s">
        <v>102</v>
      </c>
      <c r="D16" s="77">
        <v>80</v>
      </c>
      <c r="E16" s="38" t="s">
        <v>103</v>
      </c>
      <c r="F16" s="9" t="s">
        <v>187</v>
      </c>
      <c r="G16" s="32">
        <v>0</v>
      </c>
      <c r="H16" s="32">
        <v>11</v>
      </c>
      <c r="I16" s="32">
        <v>4</v>
      </c>
      <c r="J16" s="32">
        <f>+'Seguim Avance Metas PDD 2015'!R16</f>
        <v>85</v>
      </c>
      <c r="K16" s="32">
        <f>+'Seguim Avance Metas PDD 2017'!R16</f>
        <v>85</v>
      </c>
      <c r="L16" s="32">
        <f>+K16</f>
        <v>85</v>
      </c>
      <c r="M16" s="33">
        <f t="shared" si="0"/>
        <v>1.0625</v>
      </c>
    </row>
    <row r="17" spans="1:22" ht="30" customHeight="1">
      <c r="A17" s="178"/>
      <c r="B17" s="178">
        <v>915</v>
      </c>
      <c r="C17" s="7" t="s">
        <v>104</v>
      </c>
      <c r="D17" s="77">
        <v>65216</v>
      </c>
      <c r="E17" s="38" t="s">
        <v>105</v>
      </c>
      <c r="F17" s="9" t="s">
        <v>186</v>
      </c>
      <c r="G17" s="32">
        <v>0</v>
      </c>
      <c r="H17" s="32">
        <v>14235</v>
      </c>
      <c r="I17" s="32">
        <v>36208</v>
      </c>
      <c r="J17" s="32">
        <f>+'Seguim Avance Metas PDD 2015'!R17</f>
        <v>58960</v>
      </c>
      <c r="K17" s="81">
        <f>+'Seguim Avance Metas PDD 2017'!R17</f>
        <v>48935</v>
      </c>
      <c r="L17" s="32">
        <f>+K17</f>
        <v>48935</v>
      </c>
      <c r="M17" s="33">
        <f t="shared" si="0"/>
        <v>0.75035267419038276</v>
      </c>
    </row>
    <row r="18" spans="1:22" ht="30" customHeight="1">
      <c r="A18" s="178"/>
      <c r="B18" s="178"/>
      <c r="C18" s="7" t="s">
        <v>106</v>
      </c>
      <c r="D18" s="77">
        <v>150</v>
      </c>
      <c r="E18" s="38" t="s">
        <v>107</v>
      </c>
      <c r="F18" s="9" t="s">
        <v>187</v>
      </c>
      <c r="G18" s="32">
        <v>0</v>
      </c>
      <c r="H18" s="32">
        <v>41</v>
      </c>
      <c r="I18" s="32">
        <v>41</v>
      </c>
      <c r="J18" s="32">
        <f>+'Seguim Avance Metas PDD 2015'!R18</f>
        <v>42</v>
      </c>
      <c r="K18" s="32">
        <f>+'Seguim Avance Metas PDD 2017'!R18</f>
        <v>36</v>
      </c>
      <c r="L18" s="32">
        <f>+SUM(G18,H18,I18,J18,K18)</f>
        <v>160</v>
      </c>
      <c r="M18" s="33">
        <f t="shared" si="0"/>
        <v>1.0666666666666667</v>
      </c>
    </row>
    <row r="19" spans="1:22" ht="15" customHeight="1">
      <c r="A19" s="178"/>
      <c r="B19" s="178">
        <v>772</v>
      </c>
      <c r="C19" s="7" t="s">
        <v>108</v>
      </c>
      <c r="D19" s="77">
        <v>6</v>
      </c>
      <c r="E19" s="38" t="s">
        <v>109</v>
      </c>
      <c r="F19" s="9" t="s">
        <v>186</v>
      </c>
      <c r="G19" s="32">
        <v>0</v>
      </c>
      <c r="H19" s="32">
        <v>2</v>
      </c>
      <c r="I19" s="32">
        <v>3</v>
      </c>
      <c r="J19" s="32">
        <f>+'Seguim Avance Metas PDD 2015'!R19</f>
        <v>5</v>
      </c>
      <c r="K19" s="81">
        <f>+'Seguim Avance Metas PDD 2017'!R19</f>
        <v>2</v>
      </c>
      <c r="L19" s="32">
        <f>+K19</f>
        <v>2</v>
      </c>
      <c r="M19" s="33">
        <f t="shared" si="0"/>
        <v>0.33333333333333331</v>
      </c>
    </row>
    <row r="20" spans="1:22" ht="15" customHeight="1">
      <c r="A20" s="178"/>
      <c r="B20" s="178"/>
      <c r="C20" s="7" t="s">
        <v>110</v>
      </c>
      <c r="D20" s="77">
        <v>111</v>
      </c>
      <c r="E20" s="38" t="s">
        <v>111</v>
      </c>
      <c r="F20" s="9" t="s">
        <v>187</v>
      </c>
      <c r="G20" s="32">
        <v>0</v>
      </c>
      <c r="H20" s="32">
        <v>25</v>
      </c>
      <c r="I20" s="32">
        <v>25</v>
      </c>
      <c r="J20" s="32">
        <f>+'Seguim Avance Metas PDD 2015'!R20</f>
        <v>56</v>
      </c>
      <c r="K20" s="32">
        <f>+'Seguim Avance Metas PDD 2017'!R20</f>
        <v>5</v>
      </c>
      <c r="L20" s="32">
        <f>+SUM(G20,H20,I20,J20,K20)</f>
        <v>111</v>
      </c>
      <c r="M20" s="33">
        <f t="shared" si="0"/>
        <v>1</v>
      </c>
    </row>
    <row r="21" spans="1:22" ht="15" customHeight="1">
      <c r="A21" s="178"/>
      <c r="B21" s="178"/>
      <c r="C21" s="7" t="s">
        <v>110</v>
      </c>
      <c r="D21" s="77">
        <v>5</v>
      </c>
      <c r="E21" s="38" t="s">
        <v>112</v>
      </c>
      <c r="F21" s="9" t="s">
        <v>187</v>
      </c>
      <c r="G21" s="32">
        <v>0</v>
      </c>
      <c r="H21" s="32">
        <v>1</v>
      </c>
      <c r="I21" s="32">
        <v>1</v>
      </c>
      <c r="J21" s="32">
        <f>+'Seguim Avance Metas PDD 2015'!R21</f>
        <v>2</v>
      </c>
      <c r="K21" s="32">
        <f>+'Seguim Avance Metas PDD 2017'!R21</f>
        <v>0</v>
      </c>
      <c r="L21" s="32">
        <f>+SUM(G21,H21,I21,J21,K21)</f>
        <v>4</v>
      </c>
      <c r="M21" s="33">
        <f t="shared" si="0"/>
        <v>0.8</v>
      </c>
    </row>
    <row r="22" spans="1:22" ht="15" customHeight="1">
      <c r="A22" s="178"/>
      <c r="B22" s="178">
        <v>795</v>
      </c>
      <c r="C22" s="7" t="s">
        <v>113</v>
      </c>
      <c r="D22" s="78">
        <v>1140000</v>
      </c>
      <c r="E22" s="38" t="s">
        <v>114</v>
      </c>
      <c r="F22" s="9" t="s">
        <v>188</v>
      </c>
      <c r="G22" s="32">
        <v>1051971</v>
      </c>
      <c r="H22" s="32">
        <v>1048011</v>
      </c>
      <c r="I22" s="32">
        <v>1680645</v>
      </c>
      <c r="J22" s="32">
        <f>+'Seguim Avance Metas PDD 2015'!R22</f>
        <v>1738401</v>
      </c>
      <c r="K22" s="32">
        <f>+'Seguim Avance Metas PDD 2017'!R22</f>
        <v>277787</v>
      </c>
      <c r="L22" s="32">
        <f>MAX(G22,H22,I22,J22,K22)</f>
        <v>1738401</v>
      </c>
      <c r="M22" s="33">
        <f t="shared" si="0"/>
        <v>1.5249131578947368</v>
      </c>
      <c r="P22" s="1">
        <v>2013</v>
      </c>
      <c r="Q22" s="1">
        <v>100</v>
      </c>
      <c r="R22" s="1">
        <v>20</v>
      </c>
      <c r="S22" s="1">
        <v>120</v>
      </c>
      <c r="T22" s="1">
        <v>127.85</v>
      </c>
    </row>
    <row r="23" spans="1:22" ht="12.75" customHeight="1">
      <c r="A23" s="178"/>
      <c r="B23" s="178"/>
      <c r="C23" s="7" t="s">
        <v>110</v>
      </c>
      <c r="D23" s="78">
        <v>2486</v>
      </c>
      <c r="E23" s="38" t="s">
        <v>119</v>
      </c>
      <c r="F23" s="9" t="s">
        <v>187</v>
      </c>
      <c r="G23" s="32">
        <v>453</v>
      </c>
      <c r="H23" s="32">
        <v>652</v>
      </c>
      <c r="I23" s="32">
        <v>574</v>
      </c>
      <c r="J23" s="32">
        <f>+'Seguim Avance Metas PDD 2015'!R23</f>
        <v>781</v>
      </c>
      <c r="K23" s="32">
        <f>+'Seguim Avance Metas PDD 2017'!R23</f>
        <v>123</v>
      </c>
      <c r="L23" s="32">
        <f>+SUM(G23,H23,I23,J23,K23)</f>
        <v>2583</v>
      </c>
      <c r="M23" s="33">
        <f t="shared" si="0"/>
        <v>1.0390185036202735</v>
      </c>
      <c r="P23" s="1">
        <v>2014</v>
      </c>
      <c r="Q23" s="1">
        <v>120</v>
      </c>
      <c r="S23" s="1">
        <v>127.85</v>
      </c>
      <c r="T23" s="1">
        <f>+T22*1.2</f>
        <v>153.41999999999999</v>
      </c>
    </row>
    <row r="24" spans="1:22" ht="12.75" customHeight="1">
      <c r="A24" s="178"/>
      <c r="B24" s="178"/>
      <c r="C24" s="7" t="s">
        <v>183</v>
      </c>
      <c r="D24" s="79">
        <v>0.2</v>
      </c>
      <c r="E24" s="38" t="s">
        <v>184</v>
      </c>
      <c r="F24" s="9" t="s">
        <v>188</v>
      </c>
      <c r="G24" s="32">
        <v>0</v>
      </c>
      <c r="H24" s="32">
        <v>0</v>
      </c>
      <c r="I24" s="33">
        <v>0.27850000000000003</v>
      </c>
      <c r="J24" s="33">
        <f>+'Seguim Avance Metas PDD 2015'!R24</f>
        <v>0.2</v>
      </c>
      <c r="K24" s="47">
        <f>+'Seguim Avance Metas PDD 2017'!R24</f>
        <v>0.06</v>
      </c>
      <c r="L24" s="41">
        <f>+(1+I24)*(1+J24)*(1+K24)</f>
        <v>1.626252</v>
      </c>
      <c r="M24" s="33">
        <f>+(L24-1)/3</f>
        <v>0.20875066666666667</v>
      </c>
      <c r="P24" s="1">
        <v>2015</v>
      </c>
      <c r="Q24" s="1">
        <v>140</v>
      </c>
      <c r="S24" s="1">
        <v>153.41999999999999</v>
      </c>
    </row>
    <row r="25" spans="1:22" ht="12.75" customHeight="1">
      <c r="A25" s="178"/>
      <c r="B25" s="178"/>
      <c r="C25" s="42" t="s">
        <v>122</v>
      </c>
      <c r="D25" s="78">
        <v>303000</v>
      </c>
      <c r="E25" s="38" t="s">
        <v>116</v>
      </c>
      <c r="F25" s="9" t="s">
        <v>187</v>
      </c>
      <c r="G25" s="32">
        <v>45548</v>
      </c>
      <c r="H25" s="32">
        <v>65050</v>
      </c>
      <c r="I25" s="32">
        <v>71165</v>
      </c>
      <c r="J25" s="32">
        <f>+'Seguim Avance Metas PDD 2015'!R25</f>
        <v>100307</v>
      </c>
      <c r="K25" s="32">
        <f>+'Seguim Avance Metas PDD 2017'!R25</f>
        <v>31459</v>
      </c>
      <c r="L25" s="32">
        <f>+SUM(G25,H25,I25,J25,K25)</f>
        <v>313529</v>
      </c>
      <c r="M25" s="33">
        <f t="shared" ref="M25:M35" si="1">+L25/D25</f>
        <v>1.0347491749174917</v>
      </c>
      <c r="P25" s="1">
        <v>2016</v>
      </c>
      <c r="Q25" s="1">
        <f>+Q24+20*5/12</f>
        <v>148.33333333333334</v>
      </c>
      <c r="S25" s="1">
        <f>+S24*1.06</f>
        <v>162.62520000000001</v>
      </c>
    </row>
    <row r="26" spans="1:22" ht="12.75" customHeight="1">
      <c r="A26" s="178"/>
      <c r="B26" s="178"/>
      <c r="C26" s="42" t="s">
        <v>123</v>
      </c>
      <c r="D26" s="78">
        <v>50</v>
      </c>
      <c r="E26" s="38" t="s">
        <v>124</v>
      </c>
      <c r="F26" s="9" t="s">
        <v>187</v>
      </c>
      <c r="G26" s="32">
        <v>1</v>
      </c>
      <c r="H26" s="32">
        <v>14</v>
      </c>
      <c r="I26" s="32">
        <v>25</v>
      </c>
      <c r="J26" s="32">
        <f>+'Seguim Avance Metas PDD 2015'!R26</f>
        <v>10</v>
      </c>
      <c r="K26" s="32">
        <f>+'Seguim Avance Metas PDD 2017'!R26</f>
        <v>0</v>
      </c>
      <c r="L26" s="32">
        <f>+SUM(G26,H26,I26,J26,K26)</f>
        <v>50</v>
      </c>
      <c r="M26" s="33">
        <f t="shared" si="1"/>
        <v>1</v>
      </c>
    </row>
    <row r="27" spans="1:22" ht="12.75" customHeight="1">
      <c r="A27" s="178"/>
      <c r="B27" s="178"/>
      <c r="C27" s="42" t="s">
        <v>164</v>
      </c>
      <c r="D27" s="78">
        <v>7</v>
      </c>
      <c r="E27" s="38" t="s">
        <v>126</v>
      </c>
      <c r="F27" s="9" t="s">
        <v>186</v>
      </c>
      <c r="G27" s="32">
        <v>1</v>
      </c>
      <c r="H27" s="32">
        <v>4</v>
      </c>
      <c r="I27" s="32">
        <v>4</v>
      </c>
      <c r="J27" s="32">
        <f>+'Seguim Avance Metas PDD 2015'!R27</f>
        <v>5</v>
      </c>
      <c r="K27" s="81">
        <f>+'Seguim Avance Metas PDD 2017'!R27</f>
        <v>0</v>
      </c>
      <c r="L27" s="32">
        <f>MAX(G27,H27,I27,J27,K27)</f>
        <v>5</v>
      </c>
      <c r="M27" s="33">
        <f t="shared" si="1"/>
        <v>0.7142857142857143</v>
      </c>
      <c r="S27" s="1">
        <f>+(1+I24)*(1+J24)*(1+K24)</f>
        <v>1.626252</v>
      </c>
      <c r="T27" s="82">
        <f>1+I24</f>
        <v>1.2785</v>
      </c>
      <c r="U27" s="1">
        <f>+T27*(1+J24)</f>
        <v>1.5342</v>
      </c>
      <c r="V27" s="1">
        <f>+U27*(1+K24)</f>
        <v>1.626252</v>
      </c>
    </row>
    <row r="28" spans="1:22" ht="12.75" customHeight="1">
      <c r="A28" s="178"/>
      <c r="B28" s="178">
        <v>783</v>
      </c>
      <c r="C28" s="7" t="s">
        <v>129</v>
      </c>
      <c r="D28" s="79">
        <v>0.499</v>
      </c>
      <c r="E28" s="38" t="s">
        <v>130</v>
      </c>
      <c r="F28" s="9" t="s">
        <v>186</v>
      </c>
      <c r="G28" s="83">
        <v>0.1</v>
      </c>
      <c r="H28" s="83">
        <v>0.16259999999999999</v>
      </c>
      <c r="I28" s="83">
        <v>0.28470000000000001</v>
      </c>
      <c r="J28" s="83">
        <f>+'Seguim Avance Metas PDD 2015'!R28</f>
        <v>0.375</v>
      </c>
      <c r="K28" s="84">
        <f>+'Seguim Avance Metas PDD 2017'!R28</f>
        <v>0.41560000000000002</v>
      </c>
      <c r="L28" s="83">
        <f>+K28</f>
        <v>0.41560000000000002</v>
      </c>
      <c r="M28" s="33">
        <f t="shared" si="1"/>
        <v>0.83286573146292586</v>
      </c>
    </row>
    <row r="29" spans="1:22" ht="12.75" customHeight="1">
      <c r="A29" s="178"/>
      <c r="B29" s="178"/>
      <c r="C29" s="42" t="s">
        <v>131</v>
      </c>
      <c r="D29" s="78">
        <v>300000</v>
      </c>
      <c r="E29" s="38" t="s">
        <v>116</v>
      </c>
      <c r="F29" s="9" t="s">
        <v>188</v>
      </c>
      <c r="G29" s="32">
        <v>0</v>
      </c>
      <c r="H29" s="32">
        <v>356561</v>
      </c>
      <c r="I29" s="32">
        <v>453413</v>
      </c>
      <c r="J29" s="32">
        <f>+'Seguim Avance Metas PDD 2015'!R29</f>
        <v>417751</v>
      </c>
      <c r="K29" s="32">
        <f>+'Seguim Avance Metas PDD 2017'!R29</f>
        <v>143520</v>
      </c>
      <c r="L29" s="32">
        <f>MAX(G29,H29,I29,J29,K29)</f>
        <v>453413</v>
      </c>
      <c r="M29" s="33">
        <f t="shared" si="1"/>
        <v>1.5113766666666666</v>
      </c>
    </row>
    <row r="30" spans="1:22" ht="12.75" customHeight="1">
      <c r="A30" s="178"/>
      <c r="B30" s="178"/>
      <c r="C30" s="42" t="s">
        <v>165</v>
      </c>
      <c r="D30" s="78">
        <v>280000</v>
      </c>
      <c r="E30" s="38" t="s">
        <v>116</v>
      </c>
      <c r="F30" s="9" t="s">
        <v>188</v>
      </c>
      <c r="G30" s="32">
        <v>277543</v>
      </c>
      <c r="H30" s="32">
        <v>489625</v>
      </c>
      <c r="I30" s="32">
        <v>437144</v>
      </c>
      <c r="J30" s="32">
        <f>+'Seguim Avance Metas PDD 2015'!R30</f>
        <v>490223</v>
      </c>
      <c r="K30" s="32">
        <f>+'Seguim Avance Metas PDD 2017'!R30</f>
        <v>129085</v>
      </c>
      <c r="L30" s="32">
        <f>MAX(G30,H30,I30,J30,K30)</f>
        <v>490223</v>
      </c>
      <c r="M30" s="33">
        <f t="shared" si="1"/>
        <v>1.7507964285714286</v>
      </c>
    </row>
    <row r="31" spans="1:22" ht="12.75" customHeight="1">
      <c r="A31" s="178"/>
      <c r="B31" s="7">
        <v>792</v>
      </c>
      <c r="C31" s="7" t="s">
        <v>137</v>
      </c>
      <c r="D31" s="78">
        <v>1</v>
      </c>
      <c r="E31" s="38" t="s">
        <v>138</v>
      </c>
      <c r="F31" s="9" t="s">
        <v>186</v>
      </c>
      <c r="G31" s="83">
        <v>0</v>
      </c>
      <c r="H31" s="83">
        <v>0</v>
      </c>
      <c r="I31" s="83">
        <v>0.2</v>
      </c>
      <c r="J31" s="83">
        <f>+'Seguim Avance Metas PDD 2015'!R31</f>
        <v>0.30000000000000004</v>
      </c>
      <c r="K31" s="84">
        <f>+'Seguim Avance Metas PDD 2017'!R31</f>
        <v>0.34</v>
      </c>
      <c r="L31" s="83">
        <f>+K31</f>
        <v>0.34</v>
      </c>
      <c r="M31" s="33">
        <f t="shared" si="1"/>
        <v>0.34</v>
      </c>
    </row>
    <row r="32" spans="1:22" ht="12.75" customHeight="1">
      <c r="A32" s="178"/>
      <c r="B32" s="7">
        <v>787</v>
      </c>
      <c r="C32" s="7" t="s">
        <v>141</v>
      </c>
      <c r="D32" s="78">
        <v>6</v>
      </c>
      <c r="E32" s="38" t="s">
        <v>142</v>
      </c>
      <c r="F32" s="9" t="s">
        <v>187</v>
      </c>
      <c r="G32" s="32">
        <v>1</v>
      </c>
      <c r="H32" s="32">
        <v>2</v>
      </c>
      <c r="I32" s="32">
        <v>1</v>
      </c>
      <c r="J32" s="32">
        <v>1</v>
      </c>
      <c r="K32" s="32">
        <f>+'Seguim Avance Metas PDD 2017'!R32</f>
        <v>0</v>
      </c>
      <c r="L32" s="32">
        <f>+SUM(G32,H32,I32,J32,K32)</f>
        <v>5</v>
      </c>
      <c r="M32" s="33">
        <f t="shared" si="1"/>
        <v>0.83333333333333337</v>
      </c>
    </row>
    <row r="33" spans="1:13" ht="12.75" customHeight="1">
      <c r="A33" s="178"/>
      <c r="B33" s="178">
        <v>944</v>
      </c>
      <c r="C33" s="7" t="s">
        <v>143</v>
      </c>
      <c r="D33" s="78">
        <v>6</v>
      </c>
      <c r="E33" s="38" t="s">
        <v>144</v>
      </c>
      <c r="F33" s="9" t="s">
        <v>188</v>
      </c>
      <c r="G33" s="32">
        <v>6</v>
      </c>
      <c r="H33" s="32">
        <v>6</v>
      </c>
      <c r="I33" s="32">
        <v>6</v>
      </c>
      <c r="J33" s="32">
        <f>+'Seguim Avance Metas PDD 2015'!R33</f>
        <v>6</v>
      </c>
      <c r="K33" s="32">
        <f>+'Seguim Avance Metas PDD 2017'!R33</f>
        <v>6</v>
      </c>
      <c r="L33" s="32">
        <f>MAX(G33,H33,I33,J33,K33)</f>
        <v>6</v>
      </c>
      <c r="M33" s="33">
        <f t="shared" si="1"/>
        <v>1</v>
      </c>
    </row>
    <row r="34" spans="1:13" ht="12.75" customHeight="1">
      <c r="A34" s="178"/>
      <c r="B34" s="178"/>
      <c r="C34" s="7" t="s">
        <v>147</v>
      </c>
      <c r="D34" s="78">
        <v>1</v>
      </c>
      <c r="E34" s="38" t="s">
        <v>148</v>
      </c>
      <c r="F34" s="9" t="s">
        <v>188</v>
      </c>
      <c r="G34" s="32">
        <v>0</v>
      </c>
      <c r="H34" s="32">
        <v>1</v>
      </c>
      <c r="I34" s="32">
        <v>1</v>
      </c>
      <c r="J34" s="32">
        <f>+'Seguim Avance Metas PDD 2015'!R34</f>
        <v>0</v>
      </c>
      <c r="K34" s="32">
        <f>+'Seguim Avance Metas PDD 2017'!R34</f>
        <v>0</v>
      </c>
      <c r="L34" s="32">
        <f>MAX(G34,H34,I34,J34,K34)</f>
        <v>1</v>
      </c>
      <c r="M34" s="33">
        <f t="shared" si="1"/>
        <v>1</v>
      </c>
    </row>
    <row r="35" spans="1:13" ht="12.75" customHeight="1">
      <c r="A35" s="178"/>
      <c r="B35" s="7">
        <v>784</v>
      </c>
      <c r="C35" s="7" t="s">
        <v>153</v>
      </c>
      <c r="D35" s="80">
        <v>1</v>
      </c>
      <c r="E35" s="38" t="s">
        <v>154</v>
      </c>
      <c r="F35" s="9" t="s">
        <v>186</v>
      </c>
      <c r="G35" s="83">
        <v>0.57999999999999996</v>
      </c>
      <c r="H35" s="83">
        <v>0.54</v>
      </c>
      <c r="I35" s="83">
        <v>0.66</v>
      </c>
      <c r="J35" s="83">
        <f>+'Seguim Avance Metas PDD 2015'!R35</f>
        <v>0.78</v>
      </c>
      <c r="K35" s="83">
        <f>+'Seguim Avance Metas PDD 2017'!R35</f>
        <v>0.81</v>
      </c>
      <c r="L35" s="83">
        <f>MAX(G35,H35,I35,J35,K35)</f>
        <v>0.81</v>
      </c>
      <c r="M35" s="33">
        <f t="shared" si="1"/>
        <v>0.81</v>
      </c>
    </row>
    <row r="36" spans="1:13" s="15" customFormat="1" ht="12.75" customHeight="1">
      <c r="A36" s="13"/>
      <c r="B36" s="13"/>
      <c r="C36" s="13"/>
      <c r="D36" s="13"/>
      <c r="E36" s="13"/>
      <c r="F36" s="14">
        <v>0.8</v>
      </c>
      <c r="G36" s="14">
        <v>0.8</v>
      </c>
      <c r="H36" s="14">
        <v>0.8</v>
      </c>
      <c r="I36" s="14">
        <v>0.8</v>
      </c>
      <c r="J36" s="14">
        <v>0.8</v>
      </c>
      <c r="K36" s="14">
        <v>0.8</v>
      </c>
      <c r="L36" s="14"/>
      <c r="M36" s="34"/>
    </row>
    <row r="37" spans="1:13" ht="30" customHeight="1">
      <c r="A37" s="179" t="s">
        <v>76</v>
      </c>
      <c r="B37" s="179"/>
      <c r="C37" s="179"/>
      <c r="D37" s="179"/>
      <c r="E37" s="179"/>
      <c r="F37" s="179"/>
      <c r="G37" s="179"/>
      <c r="H37" s="179"/>
      <c r="I37" s="179"/>
      <c r="J37" s="85"/>
      <c r="K37" s="86"/>
      <c r="L37" s="86"/>
      <c r="M37" s="86"/>
    </row>
    <row r="38" spans="1:13" ht="36.6" customHeight="1">
      <c r="A38" s="21"/>
      <c r="B38" s="21"/>
      <c r="C38" s="21"/>
      <c r="D38" s="21"/>
      <c r="E38" s="21"/>
      <c r="F38" s="21"/>
      <c r="G38" s="22"/>
      <c r="H38" s="22"/>
      <c r="I38" s="22"/>
      <c r="J38" s="35"/>
      <c r="K38" s="86"/>
      <c r="L38" s="86"/>
      <c r="M38" s="86"/>
    </row>
    <row r="39" spans="1:13" ht="36.6" customHeight="1">
      <c r="A39" s="21"/>
      <c r="B39" s="21"/>
      <c r="C39" s="21"/>
      <c r="D39" s="21"/>
      <c r="E39" s="21"/>
      <c r="F39" s="21"/>
      <c r="G39" s="22"/>
      <c r="H39" s="22"/>
      <c r="I39" s="22"/>
      <c r="J39" s="35"/>
      <c r="K39" s="7"/>
      <c r="L39" s="7"/>
      <c r="M39" s="7"/>
    </row>
    <row r="40" spans="1:13" ht="36.6" customHeight="1">
      <c r="A40" s="21"/>
      <c r="B40" s="21"/>
      <c r="C40" s="21"/>
      <c r="D40" s="21"/>
      <c r="E40" s="21"/>
      <c r="F40" s="21"/>
      <c r="G40" s="22"/>
      <c r="H40" s="22"/>
      <c r="I40" s="22"/>
      <c r="J40" s="35"/>
      <c r="K40" s="7"/>
      <c r="L40" s="7"/>
      <c r="M40" s="7"/>
    </row>
  </sheetData>
  <sheetProtection selectLockedCells="1" selectUnlockedCells="1"/>
  <mergeCells count="25">
    <mergeCell ref="A1:N3"/>
    <mergeCell ref="A4:N6"/>
    <mergeCell ref="A7:M7"/>
    <mergeCell ref="A8:M8"/>
    <mergeCell ref="A9:E9"/>
    <mergeCell ref="F9:H9"/>
    <mergeCell ref="I9:J9"/>
    <mergeCell ref="K9:M9"/>
    <mergeCell ref="A10:E10"/>
    <mergeCell ref="F10:H10"/>
    <mergeCell ref="I10:J10"/>
    <mergeCell ref="K10:M10"/>
    <mergeCell ref="A11:E11"/>
    <mergeCell ref="F11:H11"/>
    <mergeCell ref="I11:J11"/>
    <mergeCell ref="K11:M11"/>
    <mergeCell ref="A37:I37"/>
    <mergeCell ref="A13:M13"/>
    <mergeCell ref="A15:A35"/>
    <mergeCell ref="B15:B16"/>
    <mergeCell ref="B17:B18"/>
    <mergeCell ref="B19:B21"/>
    <mergeCell ref="B22:B27"/>
    <mergeCell ref="B28:B30"/>
    <mergeCell ref="B33:B34"/>
  </mergeCells>
  <dataValidations count="2">
    <dataValidation type="list" operator="equal" allowBlank="1" showErrorMessage="1" sqref="K9">
      <formula1>"EFICACIA,EFICIENCIA,EFECTIVIDAD"</formula1>
      <formula2>0</formula2>
    </dataValidation>
    <dataValidation type="list" operator="equal" allowBlank="1" showErrorMessage="1" sqref="K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s>
  <printOptions horizontalCentered="1"/>
  <pageMargins left="0.2076388888888889" right="0.24097222222222223" top="0.77777777777777779" bottom="0.64444444444444449" header="0.51180555555555551" footer="0.51180555555555551"/>
  <pageSetup scale="63" firstPageNumber="0" pageOrder="overThenDown"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11</vt:i4>
      </vt:variant>
    </vt:vector>
  </HeadingPairs>
  <TitlesOfParts>
    <vt:vector size="26" baseType="lpstr">
      <vt:lpstr>Modificaciones Plan Acción</vt:lpstr>
      <vt:lpstr>DEI01-Plan Acción 2017</vt:lpstr>
      <vt:lpstr>Seguim Proy inversión 2015</vt:lpstr>
      <vt:lpstr>Seguim Avance  % Metas 2015</vt:lpstr>
      <vt:lpstr>Seguim Proy inversión 2017</vt:lpstr>
      <vt:lpstr>Seguim Avance  % Metas 2017</vt:lpstr>
      <vt:lpstr>Seguim Avance Metas PDD 2015</vt:lpstr>
      <vt:lpstr>Seguim Avance Metas PDD 2017</vt:lpstr>
      <vt:lpstr>Avance Acumulado Metas PDD</vt:lpstr>
      <vt:lpstr>Seguim Avance % Metas PDD</vt:lpstr>
      <vt:lpstr>DEI02-Ava Plan Plurianual BMpT</vt:lpstr>
      <vt:lpstr>PIGA - Seguimiento</vt:lpstr>
      <vt:lpstr>Datos PIGA</vt:lpstr>
      <vt:lpstr>Seguim Metas PDD</vt:lpstr>
      <vt:lpstr>DEI03-Ava Acum PDD BMpTpor proy</vt:lpstr>
      <vt:lpstr>'Avance Acumulado Metas PDD'!Área_de_impresión</vt:lpstr>
      <vt:lpstr>'DEI01-Plan Acción 2017'!Área_de_impresión</vt:lpstr>
      <vt:lpstr>'DEI02-Ava Plan Plurianual BMpT'!Área_de_impresión</vt:lpstr>
      <vt:lpstr>'DEI03-Ava Acum PDD BMpTpor proy'!Área_de_impresión</vt:lpstr>
      <vt:lpstr>'Modificaciones Plan Acción'!Área_de_impresión</vt:lpstr>
      <vt:lpstr>'PIGA - Seguimiento'!Área_de_impresión</vt:lpstr>
      <vt:lpstr>'Seguim Avance  % Metas 2015'!Área_de_impresión</vt:lpstr>
      <vt:lpstr>'Seguim Avance  % Metas 2017'!Área_de_impresión</vt:lpstr>
      <vt:lpstr>'Seguim Avance % Metas PDD'!Área_de_impresión</vt:lpstr>
      <vt:lpstr>'Seguim Proy inversión 2015'!Área_de_impresión</vt:lpstr>
      <vt:lpstr>'Seguim Proy inversión 2017'!Área_de_impresión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JOSALA</dc:creator>
  <cp:lastModifiedBy>JOSALA</cp:lastModifiedBy>
  <cp:lastPrinted>2017-05-17T22:52:29Z</cp:lastPrinted>
  <dcterms:created xsi:type="dcterms:W3CDTF">2017-05-16T20:05:29Z</dcterms:created>
  <dcterms:modified xsi:type="dcterms:W3CDTF">2017-07-10T23:03:23Z</dcterms:modified>
</cp:coreProperties>
</file>