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lex Alarcon\IDARTES\Bateria de Indicadores\Para Publicar\"/>
    </mc:Choice>
  </mc:AlternateContent>
  <bookViews>
    <workbookView xWindow="0" yWindow="0" windowWidth="16380" windowHeight="8190" tabRatio="989" firstSheet="1" activeTab="15"/>
  </bookViews>
  <sheets>
    <sheet name="Modificaciones Plan Acción" sheetId="1" state="hidden" r:id="rId1"/>
    <sheet name="DEI01-Plan Acción 2015" sheetId="2" r:id="rId2"/>
    <sheet name="Seguim Proy inversión 2015" sheetId="4" state="hidden" r:id="rId3"/>
    <sheet name="Seguim Avance  % Metas 2015" sheetId="5" state="hidden" r:id="rId4"/>
    <sheet name="Seguim Proy inversión 2016" sheetId="6" state="hidden" r:id="rId5"/>
    <sheet name="Seguim Avance  % Metas 2016" sheetId="7" state="hidden" r:id="rId6"/>
    <sheet name="DEI02-Avance Plan Plurianual BH" sheetId="8" r:id="rId7"/>
    <sheet name="Seguim Avance Metas PDD 2015" sheetId="9" state="hidden" r:id="rId8"/>
    <sheet name="Seguim Avance Metas PDD 2016" sheetId="10" state="hidden" r:id="rId9"/>
    <sheet name="Avance Acumulado Metas PDD" sheetId="11" state="hidden" r:id="rId10"/>
    <sheet name="Seguim Avance % Metas PDD" sheetId="12" state="hidden" r:id="rId11"/>
    <sheet name="DEI03-Ava Acum PDD BH por proy" sheetId="13" r:id="rId12"/>
    <sheet name="PIGA - Seguimiento" sheetId="14" state="hidden" r:id="rId13"/>
    <sheet name="Datos PIGA" sheetId="15" state="hidden" r:id="rId14"/>
    <sheet name="Seguim Metas PDD" sheetId="16" state="hidden" r:id="rId15"/>
    <sheet name="DEI04-SIST INF SECTOR 2015" sheetId="17" r:id="rId16"/>
  </sheets>
  <definedNames>
    <definedName name="_xlnm.Print_Area" localSheetId="9">'Avance Acumulado Metas PDD'!$A$1:$M$40</definedName>
    <definedName name="_xlnm.Print_Area" localSheetId="1">'DEI01-Plan Acción 2015'!$A$1:$P$48</definedName>
    <definedName name="_xlnm.Print_Area" localSheetId="6">'DEI02-Avance Plan Plurianual BH'!$A$1:$L$49</definedName>
    <definedName name="_xlnm.Print_Area" localSheetId="11">'DEI03-Ava Acum PDD BH por proy'!$A$1:$Q$64</definedName>
    <definedName name="_xlnm.Print_Area" localSheetId="15">'DEI04-SIST INF SECTOR 2015'!$A$1:$P$35</definedName>
    <definedName name="_xlnm.Print_Area" localSheetId="0">'Modificaciones Plan Acción'!$A$1:$M$32</definedName>
    <definedName name="_xlnm.Print_Area" localSheetId="12">'PIGA - Seguimiento'!$A$1:$Q$52</definedName>
    <definedName name="_xlnm.Print_Area" localSheetId="3">'Seguim Avance  % Metas 2015'!$A$1:$U$55</definedName>
    <definedName name="_xlnm.Print_Area" localSheetId="5">'Seguim Avance  % Metas 2016'!$A$1:$U$55</definedName>
    <definedName name="_xlnm.Print_Area" localSheetId="10">'Seguim Avance % Metas PDD'!$A$1:$O$40</definedName>
    <definedName name="_xlnm.Print_Area" localSheetId="2">'Seguim Proy inversión 2015'!$A$1:$U$55</definedName>
    <definedName name="_xlnm.Print_Area" localSheetId="4">'Seguim Proy inversión 2016'!$A$1:$U$55</definedName>
  </definedNames>
  <calcPr calcId="162913"/>
</workbook>
</file>

<file path=xl/calcChain.xml><?xml version="1.0" encoding="utf-8"?>
<calcChain xmlns="http://schemas.openxmlformats.org/spreadsheetml/2006/main">
  <c r="O24" i="8" l="1"/>
  <c r="O23" i="8"/>
  <c r="O22" i="8"/>
  <c r="O21" i="8"/>
  <c r="O20" i="8"/>
  <c r="Q41" i="13"/>
  <c r="O41" i="13"/>
  <c r="N27" i="13"/>
  <c r="L27" i="13"/>
  <c r="M41" i="13"/>
  <c r="K41" i="13"/>
  <c r="I41" i="13"/>
  <c r="G41" i="13"/>
  <c r="T23" i="11"/>
  <c r="Q25" i="11"/>
  <c r="S25" i="11"/>
  <c r="T27" i="11"/>
  <c r="G5" i="15"/>
  <c r="G14" i="15"/>
  <c r="H5" i="15"/>
  <c r="H14" i="15"/>
  <c r="M5" i="15"/>
  <c r="N5" i="15"/>
  <c r="G6" i="15"/>
  <c r="H6" i="15"/>
  <c r="M6" i="15"/>
  <c r="N6" i="15"/>
  <c r="G7" i="15"/>
  <c r="H7" i="15"/>
  <c r="M7" i="15"/>
  <c r="N7" i="15"/>
  <c r="G8" i="15"/>
  <c r="H8" i="15"/>
  <c r="M8" i="15"/>
  <c r="N8" i="15"/>
  <c r="G10" i="15"/>
  <c r="H10" i="15"/>
  <c r="M10" i="15"/>
  <c r="N10" i="15"/>
  <c r="G11" i="15"/>
  <c r="H11" i="15"/>
  <c r="G12" i="15"/>
  <c r="H12" i="15"/>
  <c r="M12" i="15"/>
  <c r="N12" i="15"/>
  <c r="G13" i="15"/>
  <c r="H13" i="15"/>
  <c r="M13" i="15"/>
  <c r="N13" i="15"/>
  <c r="C14" i="15"/>
  <c r="D14" i="15"/>
  <c r="E14" i="15"/>
  <c r="F14" i="15"/>
  <c r="I14" i="15"/>
  <c r="J14" i="15"/>
  <c r="K14" i="15"/>
  <c r="L14" i="15"/>
  <c r="M14" i="15"/>
  <c r="D19" i="15"/>
  <c r="D20" i="15"/>
  <c r="C21" i="15"/>
  <c r="D21" i="15"/>
  <c r="C29" i="15"/>
  <c r="C30" i="15"/>
  <c r="C31" i="15"/>
  <c r="C32" i="15"/>
  <c r="C37" i="15"/>
  <c r="C38" i="15"/>
  <c r="C39" i="15"/>
  <c r="C40" i="15"/>
  <c r="C41" i="15"/>
  <c r="C42" i="15"/>
  <c r="C43" i="15"/>
  <c r="C44" i="15"/>
  <c r="C46" i="15"/>
  <c r="C47" i="15"/>
  <c r="C48" i="15"/>
  <c r="C49" i="15"/>
  <c r="C50" i="15"/>
  <c r="C51" i="15"/>
  <c r="O20" i="2"/>
  <c r="P20" i="2"/>
  <c r="E21" i="2"/>
  <c r="G21" i="2"/>
  <c r="H21" i="2"/>
  <c r="I21" i="2"/>
  <c r="I30" i="2"/>
  <c r="K21" i="2"/>
  <c r="L21" i="2"/>
  <c r="M21" i="2"/>
  <c r="M30" i="2"/>
  <c r="N21" i="2"/>
  <c r="P21" i="2"/>
  <c r="O22" i="2"/>
  <c r="P22" i="2"/>
  <c r="O23" i="2"/>
  <c r="P23" i="2"/>
  <c r="E24" i="2"/>
  <c r="E30" i="2"/>
  <c r="E36" i="2"/>
  <c r="G24" i="2"/>
  <c r="K24" i="2"/>
  <c r="L24" i="2"/>
  <c r="P24" i="2"/>
  <c r="M25" i="2"/>
  <c r="O25" i="2"/>
  <c r="P25" i="2"/>
  <c r="D26" i="2"/>
  <c r="E26" i="2"/>
  <c r="F26" i="2"/>
  <c r="G26" i="2"/>
  <c r="H26" i="2"/>
  <c r="I26" i="2"/>
  <c r="J26" i="2"/>
  <c r="K26" i="2"/>
  <c r="L26" i="2"/>
  <c r="M26" i="2"/>
  <c r="N26" i="2"/>
  <c r="P26" i="2"/>
  <c r="D27" i="2"/>
  <c r="F27" i="2"/>
  <c r="F30" i="2"/>
  <c r="F36" i="2"/>
  <c r="G27" i="2"/>
  <c r="H27" i="2"/>
  <c r="O27" i="2"/>
  <c r="K27" i="2"/>
  <c r="D28" i="2"/>
  <c r="F28" i="2"/>
  <c r="G28" i="2"/>
  <c r="I28" i="2"/>
  <c r="K28" i="2"/>
  <c r="K30" i="2"/>
  <c r="M28" i="2"/>
  <c r="N28" i="2"/>
  <c r="N30" i="2"/>
  <c r="N36" i="2"/>
  <c r="O29" i="2"/>
  <c r="P29" i="2"/>
  <c r="C30" i="2"/>
  <c r="H30" i="2"/>
  <c r="H36" i="2"/>
  <c r="J30" i="2"/>
  <c r="O32" i="2"/>
  <c r="P32" i="2"/>
  <c r="O34" i="2"/>
  <c r="P34" i="2"/>
  <c r="D35" i="2"/>
  <c r="E35" i="2"/>
  <c r="F35" i="2"/>
  <c r="G35" i="2"/>
  <c r="H35" i="2"/>
  <c r="I35" i="2"/>
  <c r="J35" i="2"/>
  <c r="K35" i="2"/>
  <c r="L35" i="2"/>
  <c r="M35" i="2"/>
  <c r="N35" i="2"/>
  <c r="O35" i="2"/>
  <c r="J36" i="2"/>
  <c r="D20" i="8"/>
  <c r="E20" i="8"/>
  <c r="F20" i="8"/>
  <c r="G20" i="8"/>
  <c r="I20" i="8"/>
  <c r="D21" i="8"/>
  <c r="E21" i="8"/>
  <c r="F21" i="8"/>
  <c r="G21" i="8"/>
  <c r="I21" i="8"/>
  <c r="D22" i="8"/>
  <c r="E22" i="8"/>
  <c r="F22" i="8"/>
  <c r="G22" i="8"/>
  <c r="I22" i="8"/>
  <c r="L22" i="8"/>
  <c r="B23" i="8"/>
  <c r="C23" i="8"/>
  <c r="D23" i="8"/>
  <c r="F23" i="8"/>
  <c r="B24" i="8"/>
  <c r="C24" i="8"/>
  <c r="E24" i="8"/>
  <c r="D24" i="8"/>
  <c r="F24" i="8"/>
  <c r="G24" i="8"/>
  <c r="B25" i="8"/>
  <c r="C25" i="8"/>
  <c r="E25" i="8"/>
  <c r="G25" i="8"/>
  <c r="I25" i="8"/>
  <c r="L25" i="8"/>
  <c r="D25" i="8"/>
  <c r="F25" i="8"/>
  <c r="B26" i="8"/>
  <c r="C26" i="8"/>
  <c r="D26" i="8"/>
  <c r="E26" i="8"/>
  <c r="F26" i="8"/>
  <c r="G26" i="8"/>
  <c r="I26" i="8"/>
  <c r="L26" i="8"/>
  <c r="B27" i="8"/>
  <c r="C27" i="8"/>
  <c r="D27" i="8"/>
  <c r="E27" i="8"/>
  <c r="G27" i="8"/>
  <c r="I27" i="8"/>
  <c r="F27" i="8"/>
  <c r="B28" i="8"/>
  <c r="C28" i="8"/>
  <c r="D28" i="8"/>
  <c r="E28" i="8"/>
  <c r="F28" i="8"/>
  <c r="G28" i="8"/>
  <c r="I28" i="8"/>
  <c r="B29" i="8"/>
  <c r="C29" i="8"/>
  <c r="D29" i="8"/>
  <c r="E29" i="8"/>
  <c r="G29" i="8"/>
  <c r="I29" i="8"/>
  <c r="F29" i="8"/>
  <c r="B30" i="8"/>
  <c r="F30" i="8"/>
  <c r="G20" i="13"/>
  <c r="I20" i="13"/>
  <c r="K20" i="13"/>
  <c r="G21" i="13"/>
  <c r="I21" i="13"/>
  <c r="K21" i="13"/>
  <c r="M21" i="13"/>
  <c r="O21" i="13"/>
  <c r="P21" i="13"/>
  <c r="G22" i="13"/>
  <c r="I22" i="13"/>
  <c r="K22" i="13"/>
  <c r="G23" i="13"/>
  <c r="I23" i="13"/>
  <c r="K23" i="13"/>
  <c r="G24" i="13"/>
  <c r="I24" i="13"/>
  <c r="K24" i="13"/>
  <c r="O24" i="13"/>
  <c r="Q24" i="13"/>
  <c r="G25" i="13"/>
  <c r="I25" i="13"/>
  <c r="K25" i="13"/>
  <c r="M25" i="13"/>
  <c r="O25" i="13"/>
  <c r="P25" i="13"/>
  <c r="G26" i="13"/>
  <c r="I26" i="13"/>
  <c r="K26" i="13"/>
  <c r="G27" i="13"/>
  <c r="I27" i="13"/>
  <c r="K27" i="13"/>
  <c r="G28" i="13"/>
  <c r="I28" i="13"/>
  <c r="K28" i="13"/>
  <c r="G29" i="13"/>
  <c r="I29" i="13"/>
  <c r="K29" i="13"/>
  <c r="K42" i="13"/>
  <c r="G30" i="13"/>
  <c r="I30" i="13"/>
  <c r="K30" i="13"/>
  <c r="G31" i="13"/>
  <c r="I31" i="13"/>
  <c r="K31" i="13"/>
  <c r="G32" i="13"/>
  <c r="I32" i="13"/>
  <c r="K32" i="13"/>
  <c r="F33" i="13"/>
  <c r="G33" i="13"/>
  <c r="H33" i="13"/>
  <c r="J33" i="13"/>
  <c r="K33" i="13"/>
  <c r="G34" i="13"/>
  <c r="I34" i="13"/>
  <c r="K34" i="13"/>
  <c r="G35" i="13"/>
  <c r="I35" i="13"/>
  <c r="K35" i="13"/>
  <c r="G36" i="13"/>
  <c r="I36" i="13"/>
  <c r="K36" i="13"/>
  <c r="G37" i="13"/>
  <c r="I37" i="13"/>
  <c r="K37" i="13"/>
  <c r="L37" i="13"/>
  <c r="M37" i="13"/>
  <c r="G38" i="13"/>
  <c r="I38" i="13"/>
  <c r="K38" i="13"/>
  <c r="G39" i="13"/>
  <c r="I39" i="13"/>
  <c r="K39" i="13"/>
  <c r="P39" i="13"/>
  <c r="G40" i="13"/>
  <c r="I40" i="13"/>
  <c r="K40" i="13"/>
  <c r="G42" i="13"/>
  <c r="N20" i="17"/>
  <c r="N21" i="17"/>
  <c r="N22" i="17"/>
  <c r="T21" i="17"/>
  <c r="F22" i="17"/>
  <c r="S21" i="17"/>
  <c r="H22" i="17"/>
  <c r="J22" i="17"/>
  <c r="U21" i="17"/>
  <c r="L22" i="17"/>
  <c r="V21" i="17"/>
  <c r="H15" i="1"/>
  <c r="L15" i="1"/>
  <c r="H16" i="1"/>
  <c r="L16" i="1"/>
  <c r="H17" i="1"/>
  <c r="L17" i="1"/>
  <c r="H18" i="1"/>
  <c r="L18" i="1"/>
  <c r="H19" i="1"/>
  <c r="L19" i="1"/>
  <c r="H20" i="1"/>
  <c r="L20" i="1"/>
  <c r="H21" i="1"/>
  <c r="L21" i="1"/>
  <c r="H22" i="1"/>
  <c r="L22" i="1"/>
  <c r="H23" i="1"/>
  <c r="L23" i="1"/>
  <c r="H24" i="1"/>
  <c r="L24" i="1"/>
  <c r="H25" i="1"/>
  <c r="L25" i="1"/>
  <c r="H26" i="1"/>
  <c r="L26" i="1"/>
  <c r="H27" i="1"/>
  <c r="L27" i="1"/>
  <c r="P15" i="14"/>
  <c r="P16" i="14"/>
  <c r="D17" i="14"/>
  <c r="E17" i="14"/>
  <c r="F17" i="14"/>
  <c r="G17" i="14"/>
  <c r="H17" i="14"/>
  <c r="I17" i="14"/>
  <c r="J17" i="14"/>
  <c r="K17" i="14"/>
  <c r="L17" i="14"/>
  <c r="M17" i="14"/>
  <c r="N17" i="14"/>
  <c r="O17" i="14"/>
  <c r="D18" i="14"/>
  <c r="E18" i="14"/>
  <c r="F18" i="14"/>
  <c r="G18" i="14"/>
  <c r="G19" i="14"/>
  <c r="H18" i="14"/>
  <c r="I18" i="14"/>
  <c r="I19" i="14"/>
  <c r="J18" i="14"/>
  <c r="J19" i="14"/>
  <c r="P19" i="14"/>
  <c r="K18" i="14"/>
  <c r="K19" i="14"/>
  <c r="L18" i="14"/>
  <c r="M18" i="14"/>
  <c r="M19" i="14"/>
  <c r="N18" i="14"/>
  <c r="N19" i="14"/>
  <c r="O18" i="14"/>
  <c r="O19" i="14"/>
  <c r="D19" i="14"/>
  <c r="E19" i="14"/>
  <c r="F19" i="14"/>
  <c r="H19" i="14"/>
  <c r="L19" i="14"/>
  <c r="P20" i="14"/>
  <c r="P21" i="14"/>
  <c r="P22" i="14"/>
  <c r="P23" i="14"/>
  <c r="P24" i="14"/>
  <c r="P25" i="14"/>
  <c r="P26" i="14"/>
  <c r="P27" i="14"/>
  <c r="P28" i="14"/>
  <c r="P29" i="14"/>
  <c r="P30" i="14"/>
  <c r="P31" i="14"/>
  <c r="D32" i="14"/>
  <c r="D33" i="14"/>
  <c r="E32" i="14"/>
  <c r="E33" i="14"/>
  <c r="F32" i="14"/>
  <c r="G32" i="14"/>
  <c r="P32" i="14"/>
  <c r="H32" i="14"/>
  <c r="I32" i="14"/>
  <c r="I33" i="14"/>
  <c r="J32" i="14"/>
  <c r="K32" i="14"/>
  <c r="K33" i="14"/>
  <c r="L32" i="14"/>
  <c r="M32" i="14"/>
  <c r="M33" i="14"/>
  <c r="N32" i="14"/>
  <c r="O32" i="14"/>
  <c r="O33" i="14"/>
  <c r="F33" i="14"/>
  <c r="H33" i="14"/>
  <c r="J33" i="14"/>
  <c r="L33" i="14"/>
  <c r="N33" i="14"/>
  <c r="P34" i="14"/>
  <c r="P35" i="14"/>
  <c r="P36" i="14"/>
  <c r="P37" i="14"/>
  <c r="P38" i="14"/>
  <c r="P40" i="14"/>
  <c r="P41" i="14"/>
  <c r="P42" i="14"/>
  <c r="P43" i="14"/>
  <c r="P44" i="14"/>
  <c r="P45" i="14"/>
  <c r="P46" i="14"/>
  <c r="P47" i="14"/>
  <c r="F15" i="5"/>
  <c r="G15" i="5"/>
  <c r="H15" i="5"/>
  <c r="I15" i="5"/>
  <c r="J15" i="5"/>
  <c r="K15" i="5"/>
  <c r="L15" i="5"/>
  <c r="M15" i="5"/>
  <c r="N15" i="5"/>
  <c r="O15" i="5"/>
  <c r="P15" i="5"/>
  <c r="Q15" i="5"/>
  <c r="R15" i="5"/>
  <c r="F16" i="5"/>
  <c r="G16" i="5"/>
  <c r="H16" i="5"/>
  <c r="I16" i="5"/>
  <c r="J16" i="5"/>
  <c r="K16" i="5"/>
  <c r="L16" i="5"/>
  <c r="M16" i="5"/>
  <c r="N16" i="5"/>
  <c r="O16" i="5"/>
  <c r="P16" i="5"/>
  <c r="Q16" i="5"/>
  <c r="F17" i="5"/>
  <c r="G17" i="5"/>
  <c r="H17" i="5"/>
  <c r="I17" i="5"/>
  <c r="J17" i="5"/>
  <c r="K17" i="5"/>
  <c r="L17" i="5"/>
  <c r="M17" i="5"/>
  <c r="N17" i="5"/>
  <c r="O17" i="5"/>
  <c r="P17" i="5"/>
  <c r="Q17" i="5"/>
  <c r="F18" i="5"/>
  <c r="G18" i="5"/>
  <c r="H18" i="5"/>
  <c r="I18" i="5"/>
  <c r="J18" i="5"/>
  <c r="K18" i="5"/>
  <c r="L18" i="5"/>
  <c r="M18" i="5"/>
  <c r="M49" i="5"/>
  <c r="N18" i="5"/>
  <c r="O18" i="5"/>
  <c r="P18" i="5"/>
  <c r="Q18" i="5"/>
  <c r="F19" i="5"/>
  <c r="G19" i="5"/>
  <c r="H19" i="5"/>
  <c r="I19" i="5"/>
  <c r="J19" i="5"/>
  <c r="K19" i="5"/>
  <c r="L19" i="5"/>
  <c r="M19" i="5"/>
  <c r="N19" i="5"/>
  <c r="O19" i="5"/>
  <c r="P19" i="5"/>
  <c r="Q19" i="5"/>
  <c r="F20" i="5"/>
  <c r="G20" i="5"/>
  <c r="H20" i="5"/>
  <c r="I20" i="5"/>
  <c r="K20" i="5"/>
  <c r="F21" i="5"/>
  <c r="G21" i="5"/>
  <c r="H21" i="5"/>
  <c r="I21" i="5"/>
  <c r="J21" i="5"/>
  <c r="K21" i="5"/>
  <c r="L21" i="5"/>
  <c r="M21" i="5"/>
  <c r="N21" i="5"/>
  <c r="O21" i="5"/>
  <c r="P21" i="5"/>
  <c r="Q21" i="5"/>
  <c r="F22" i="5"/>
  <c r="G22" i="5"/>
  <c r="H22" i="5"/>
  <c r="I22" i="5"/>
  <c r="J22" i="5"/>
  <c r="K22" i="5"/>
  <c r="L22" i="5"/>
  <c r="M22" i="5"/>
  <c r="N22" i="5"/>
  <c r="O22" i="5"/>
  <c r="P22" i="5"/>
  <c r="Q22" i="5"/>
  <c r="F23" i="5"/>
  <c r="G23" i="5"/>
  <c r="H23" i="5"/>
  <c r="I23" i="5"/>
  <c r="J23" i="5"/>
  <c r="K23" i="5"/>
  <c r="L23" i="5"/>
  <c r="M23" i="5"/>
  <c r="N23" i="5"/>
  <c r="O23" i="5"/>
  <c r="P23" i="5"/>
  <c r="Q23" i="5"/>
  <c r="R23" i="5"/>
  <c r="F24" i="5"/>
  <c r="G24" i="5"/>
  <c r="H24" i="5"/>
  <c r="I24" i="5"/>
  <c r="J24" i="5"/>
  <c r="K24" i="5"/>
  <c r="L24" i="5"/>
  <c r="M24" i="5"/>
  <c r="N24" i="5"/>
  <c r="O24" i="5"/>
  <c r="P24" i="5"/>
  <c r="Q24" i="5"/>
  <c r="F25" i="5"/>
  <c r="G25" i="5"/>
  <c r="H25" i="5"/>
  <c r="I25" i="5"/>
  <c r="J25" i="5"/>
  <c r="K25" i="5"/>
  <c r="L25" i="5"/>
  <c r="M25" i="5"/>
  <c r="N25" i="5"/>
  <c r="O25" i="5"/>
  <c r="P25" i="5"/>
  <c r="F26" i="5"/>
  <c r="G26" i="5"/>
  <c r="H26" i="5"/>
  <c r="I26" i="5"/>
  <c r="J26" i="5"/>
  <c r="K26" i="5"/>
  <c r="L26" i="5"/>
  <c r="M26" i="5"/>
  <c r="N26" i="5"/>
  <c r="O26" i="5"/>
  <c r="P26" i="5"/>
  <c r="Q26" i="5"/>
  <c r="F27" i="5"/>
  <c r="G27" i="5"/>
  <c r="H27" i="5"/>
  <c r="I27" i="5"/>
  <c r="J27" i="5"/>
  <c r="K27" i="5"/>
  <c r="L27" i="5"/>
  <c r="M27" i="5"/>
  <c r="N27" i="5"/>
  <c r="O27" i="5"/>
  <c r="P27" i="5"/>
  <c r="Q27" i="5"/>
  <c r="F28" i="5"/>
  <c r="G28" i="5"/>
  <c r="H28" i="5"/>
  <c r="I28" i="5"/>
  <c r="J28" i="5"/>
  <c r="K28" i="5"/>
  <c r="L28" i="5"/>
  <c r="M28" i="5"/>
  <c r="N28" i="5"/>
  <c r="O28" i="5"/>
  <c r="P28" i="5"/>
  <c r="Q28" i="5"/>
  <c r="F29" i="5"/>
  <c r="G29" i="5"/>
  <c r="H29" i="5"/>
  <c r="I29" i="5"/>
  <c r="J29" i="5"/>
  <c r="K29" i="5"/>
  <c r="L29" i="5"/>
  <c r="M29" i="5"/>
  <c r="N29" i="5"/>
  <c r="O29" i="5"/>
  <c r="P29" i="5"/>
  <c r="Q29" i="5"/>
  <c r="R29" i="5"/>
  <c r="F30" i="5"/>
  <c r="G30" i="5"/>
  <c r="H30" i="5"/>
  <c r="I30" i="5"/>
  <c r="J30" i="5"/>
  <c r="K30" i="5"/>
  <c r="L30" i="5"/>
  <c r="M30" i="5"/>
  <c r="N30" i="5"/>
  <c r="O30" i="5"/>
  <c r="P30" i="5"/>
  <c r="Q30" i="5"/>
  <c r="F31" i="5"/>
  <c r="G31" i="5"/>
  <c r="H31" i="5"/>
  <c r="I31" i="5"/>
  <c r="J31" i="5"/>
  <c r="K31" i="5"/>
  <c r="L31" i="5"/>
  <c r="M31" i="5"/>
  <c r="N31" i="5"/>
  <c r="O31" i="5"/>
  <c r="P31" i="5"/>
  <c r="Q31" i="5"/>
  <c r="F32" i="5"/>
  <c r="G32" i="5"/>
  <c r="H32" i="5"/>
  <c r="I32" i="5"/>
  <c r="J32" i="5"/>
  <c r="K32" i="5"/>
  <c r="L32" i="5"/>
  <c r="M32" i="5"/>
  <c r="N32" i="5"/>
  <c r="O32" i="5"/>
  <c r="P32" i="5"/>
  <c r="Q32" i="5"/>
  <c r="F33" i="5"/>
  <c r="G33" i="5"/>
  <c r="H33" i="5"/>
  <c r="I33" i="5"/>
  <c r="J33" i="5"/>
  <c r="K33" i="5"/>
  <c r="L33" i="5"/>
  <c r="M33" i="5"/>
  <c r="N33" i="5"/>
  <c r="O33" i="5"/>
  <c r="P33" i="5"/>
  <c r="Q33" i="5"/>
  <c r="F34" i="5"/>
  <c r="G34" i="5"/>
  <c r="H34" i="5"/>
  <c r="I34" i="5"/>
  <c r="J34" i="5"/>
  <c r="K34" i="5"/>
  <c r="L34" i="5"/>
  <c r="M34" i="5"/>
  <c r="N34" i="5"/>
  <c r="O34" i="5"/>
  <c r="P34" i="5"/>
  <c r="Q34" i="5"/>
  <c r="F35" i="5"/>
  <c r="G35" i="5"/>
  <c r="H35" i="5"/>
  <c r="I35" i="5"/>
  <c r="J35" i="5"/>
  <c r="K35" i="5"/>
  <c r="L35" i="5"/>
  <c r="M35" i="5"/>
  <c r="N35" i="5"/>
  <c r="O35" i="5"/>
  <c r="P35" i="5"/>
  <c r="Q35" i="5"/>
  <c r="F36" i="5"/>
  <c r="G36" i="5"/>
  <c r="H36" i="5"/>
  <c r="I36" i="5"/>
  <c r="J36" i="5"/>
  <c r="K36" i="5"/>
  <c r="L36" i="5"/>
  <c r="M36" i="5"/>
  <c r="N36" i="5"/>
  <c r="O36" i="5"/>
  <c r="P36" i="5"/>
  <c r="Q36" i="5"/>
  <c r="F37" i="5"/>
  <c r="G37" i="5"/>
  <c r="H37" i="5"/>
  <c r="I37" i="5"/>
  <c r="J37" i="5"/>
  <c r="K37" i="5"/>
  <c r="L37" i="5"/>
  <c r="M37" i="5"/>
  <c r="N37" i="5"/>
  <c r="O37" i="5"/>
  <c r="P37" i="5"/>
  <c r="Q37" i="5"/>
  <c r="R37" i="5"/>
  <c r="F38" i="5"/>
  <c r="G38" i="5"/>
  <c r="H38" i="5"/>
  <c r="I38" i="5"/>
  <c r="J38" i="5"/>
  <c r="K38" i="5"/>
  <c r="L38" i="5"/>
  <c r="M38" i="5"/>
  <c r="N38" i="5"/>
  <c r="O38" i="5"/>
  <c r="P38" i="5"/>
  <c r="Q38" i="5"/>
  <c r="R38" i="5"/>
  <c r="F39" i="5"/>
  <c r="G39" i="5"/>
  <c r="H39" i="5"/>
  <c r="I39" i="5"/>
  <c r="J39" i="5"/>
  <c r="K39" i="5"/>
  <c r="L39" i="5"/>
  <c r="M39" i="5"/>
  <c r="N39" i="5"/>
  <c r="O39" i="5"/>
  <c r="P39" i="5"/>
  <c r="Q39" i="5"/>
  <c r="R39" i="5"/>
  <c r="U39" i="5"/>
  <c r="H26" i="8"/>
  <c r="F40" i="5"/>
  <c r="G40" i="5"/>
  <c r="H40" i="5"/>
  <c r="I40" i="5"/>
  <c r="J40" i="5"/>
  <c r="K40" i="5"/>
  <c r="L40" i="5"/>
  <c r="M40" i="5"/>
  <c r="N40" i="5"/>
  <c r="O40" i="5"/>
  <c r="P40" i="5"/>
  <c r="Q40" i="5"/>
  <c r="R40" i="5"/>
  <c r="U40" i="5"/>
  <c r="H27" i="8"/>
  <c r="F41" i="5"/>
  <c r="G41" i="5"/>
  <c r="H41" i="5"/>
  <c r="I41" i="5"/>
  <c r="J41" i="5"/>
  <c r="L41" i="5"/>
  <c r="M41" i="5"/>
  <c r="N41" i="5"/>
  <c r="O41" i="5"/>
  <c r="P41" i="5"/>
  <c r="Q41" i="5"/>
  <c r="R41" i="5"/>
  <c r="F42" i="5"/>
  <c r="G42" i="5"/>
  <c r="H42" i="5"/>
  <c r="I42" i="5"/>
  <c r="J42" i="5"/>
  <c r="K42" i="5"/>
  <c r="L42" i="5"/>
  <c r="M42" i="5"/>
  <c r="N42" i="5"/>
  <c r="O42" i="5"/>
  <c r="P42" i="5"/>
  <c r="Q42" i="5"/>
  <c r="F43" i="5"/>
  <c r="G43" i="5"/>
  <c r="H43" i="5"/>
  <c r="I43" i="5"/>
  <c r="J43" i="5"/>
  <c r="K43" i="5"/>
  <c r="L43" i="5"/>
  <c r="M43" i="5"/>
  <c r="N43" i="5"/>
  <c r="O43" i="5"/>
  <c r="P43" i="5"/>
  <c r="Q43" i="5"/>
  <c r="F44" i="5"/>
  <c r="G44" i="5"/>
  <c r="H44" i="5"/>
  <c r="I44" i="5"/>
  <c r="J44" i="5"/>
  <c r="K44" i="5"/>
  <c r="L44" i="5"/>
  <c r="M44" i="5"/>
  <c r="N44" i="5"/>
  <c r="O44" i="5"/>
  <c r="P44" i="5"/>
  <c r="Q44" i="5"/>
  <c r="F45" i="5"/>
  <c r="G45" i="5"/>
  <c r="H45" i="5"/>
  <c r="I45" i="5"/>
  <c r="J45" i="5"/>
  <c r="K45" i="5"/>
  <c r="L45" i="5"/>
  <c r="M45" i="5"/>
  <c r="N45" i="5"/>
  <c r="O45" i="5"/>
  <c r="P45" i="5"/>
  <c r="Q45" i="5"/>
  <c r="F46" i="5"/>
  <c r="G46" i="5"/>
  <c r="H46" i="5"/>
  <c r="I46" i="5"/>
  <c r="J46" i="5"/>
  <c r="K46" i="5"/>
  <c r="L46" i="5"/>
  <c r="M46" i="5"/>
  <c r="N46" i="5"/>
  <c r="O46" i="5"/>
  <c r="P46" i="5"/>
  <c r="Q46" i="5"/>
  <c r="F47" i="5"/>
  <c r="G47" i="5"/>
  <c r="H47" i="5"/>
  <c r="I47" i="5"/>
  <c r="J47" i="5"/>
  <c r="K47" i="5"/>
  <c r="L47" i="5"/>
  <c r="M47" i="5"/>
  <c r="N47" i="5"/>
  <c r="O47" i="5"/>
  <c r="P47" i="5"/>
  <c r="Q47" i="5"/>
  <c r="F48" i="5"/>
  <c r="G48" i="5"/>
  <c r="H48" i="5"/>
  <c r="I48" i="5"/>
  <c r="J48" i="5"/>
  <c r="K48" i="5"/>
  <c r="L48" i="5"/>
  <c r="M48" i="5"/>
  <c r="N48" i="5"/>
  <c r="O48" i="5"/>
  <c r="P48" i="5"/>
  <c r="Q48" i="5"/>
  <c r="G49" i="5"/>
  <c r="F15" i="7"/>
  <c r="G15" i="7"/>
  <c r="H15" i="7"/>
  <c r="I15" i="7"/>
  <c r="K15" i="7"/>
  <c r="H16" i="7"/>
  <c r="K16" i="7"/>
  <c r="F17" i="7"/>
  <c r="G17" i="7"/>
  <c r="H17" i="7"/>
  <c r="I17" i="7"/>
  <c r="J17" i="7"/>
  <c r="K17" i="7"/>
  <c r="F18" i="7"/>
  <c r="G18" i="7"/>
  <c r="H18" i="7"/>
  <c r="I18" i="7"/>
  <c r="J18" i="7"/>
  <c r="K18" i="7"/>
  <c r="F19" i="7"/>
  <c r="G19" i="7"/>
  <c r="H19" i="7"/>
  <c r="I19" i="7"/>
  <c r="J19" i="7"/>
  <c r="K19" i="7"/>
  <c r="F20" i="7"/>
  <c r="G20" i="7"/>
  <c r="H20" i="7"/>
  <c r="I20" i="7"/>
  <c r="J20" i="7"/>
  <c r="K20" i="7"/>
  <c r="F21" i="7"/>
  <c r="G21" i="7"/>
  <c r="H21" i="7"/>
  <c r="I21" i="7"/>
  <c r="J21" i="7"/>
  <c r="K21" i="7"/>
  <c r="F22" i="7"/>
  <c r="G22" i="7"/>
  <c r="H22" i="7"/>
  <c r="I22" i="7"/>
  <c r="J22" i="7"/>
  <c r="K22" i="7"/>
  <c r="F23" i="7"/>
  <c r="G23" i="7"/>
  <c r="H23" i="7"/>
  <c r="I23" i="7"/>
  <c r="J23" i="7"/>
  <c r="K23" i="7"/>
  <c r="F24" i="7"/>
  <c r="G24" i="7"/>
  <c r="H24" i="7"/>
  <c r="I24" i="7"/>
  <c r="J24" i="7"/>
  <c r="K24" i="7"/>
  <c r="F25" i="7"/>
  <c r="G25" i="7"/>
  <c r="H25" i="7"/>
  <c r="I25" i="7"/>
  <c r="J25" i="7"/>
  <c r="K25" i="7"/>
  <c r="F26" i="7"/>
  <c r="G26" i="7"/>
  <c r="H26" i="7"/>
  <c r="I26" i="7"/>
  <c r="J26" i="7"/>
  <c r="K26" i="7"/>
  <c r="F27" i="7"/>
  <c r="G27" i="7"/>
  <c r="H27" i="7"/>
  <c r="I27" i="7"/>
  <c r="J27" i="7"/>
  <c r="K27" i="7"/>
  <c r="F28" i="7"/>
  <c r="G28" i="7"/>
  <c r="H28" i="7"/>
  <c r="H49" i="7"/>
  <c r="I28" i="7"/>
  <c r="J28" i="7"/>
  <c r="K28" i="7"/>
  <c r="F29" i="7"/>
  <c r="G29" i="7"/>
  <c r="H29" i="7"/>
  <c r="I29" i="7"/>
  <c r="J29" i="7"/>
  <c r="K29" i="7"/>
  <c r="F30" i="7"/>
  <c r="G30" i="7"/>
  <c r="H30" i="7"/>
  <c r="I30" i="7"/>
  <c r="J30" i="7"/>
  <c r="K30" i="7"/>
  <c r="F31" i="7"/>
  <c r="G31" i="7"/>
  <c r="H31" i="7"/>
  <c r="I31" i="7"/>
  <c r="J31" i="7"/>
  <c r="K31" i="7"/>
  <c r="F32" i="7"/>
  <c r="G32" i="7"/>
  <c r="H32" i="7"/>
  <c r="I32" i="7"/>
  <c r="J32" i="7"/>
  <c r="K32" i="7"/>
  <c r="F33" i="7"/>
  <c r="G33" i="7"/>
  <c r="H33" i="7"/>
  <c r="I33" i="7"/>
  <c r="J33" i="7"/>
  <c r="K33" i="7"/>
  <c r="F34" i="7"/>
  <c r="G34" i="7"/>
  <c r="H34" i="7"/>
  <c r="I34" i="7"/>
  <c r="J34" i="7"/>
  <c r="K34" i="7"/>
  <c r="F35" i="7"/>
  <c r="G35" i="7"/>
  <c r="H35" i="7"/>
  <c r="I35" i="7"/>
  <c r="J35" i="7"/>
  <c r="K35" i="7"/>
  <c r="R35" i="7"/>
  <c r="F36" i="7"/>
  <c r="G36" i="7"/>
  <c r="H36" i="7"/>
  <c r="I36" i="7"/>
  <c r="J36" i="7"/>
  <c r="K36" i="7"/>
  <c r="F37" i="7"/>
  <c r="G37" i="7"/>
  <c r="H37" i="7"/>
  <c r="I37" i="7"/>
  <c r="J37" i="7"/>
  <c r="K37" i="7"/>
  <c r="F38" i="7"/>
  <c r="G38" i="7"/>
  <c r="H38" i="7"/>
  <c r="I38" i="7"/>
  <c r="J38" i="7"/>
  <c r="K38" i="7"/>
  <c r="F40" i="7"/>
  <c r="G40" i="7"/>
  <c r="H40" i="7"/>
  <c r="I40" i="7"/>
  <c r="J40" i="7"/>
  <c r="K40" i="7"/>
  <c r="F41" i="7"/>
  <c r="G41" i="7"/>
  <c r="H41" i="7"/>
  <c r="I41" i="7"/>
  <c r="J41" i="7"/>
  <c r="K41" i="7"/>
  <c r="F42" i="7"/>
  <c r="G42" i="7"/>
  <c r="H42" i="7"/>
  <c r="I42" i="7"/>
  <c r="J42" i="7"/>
  <c r="K42" i="7"/>
  <c r="F43" i="7"/>
  <c r="G43" i="7"/>
  <c r="H43" i="7"/>
  <c r="I43" i="7"/>
  <c r="J43" i="7"/>
  <c r="K43" i="7"/>
  <c r="F44" i="7"/>
  <c r="G44" i="7"/>
  <c r="H44" i="7"/>
  <c r="I44" i="7"/>
  <c r="J44" i="7"/>
  <c r="K44" i="7"/>
  <c r="F45" i="7"/>
  <c r="G45" i="7"/>
  <c r="H45" i="7"/>
  <c r="I45" i="7"/>
  <c r="J45" i="7"/>
  <c r="K45" i="7"/>
  <c r="F46" i="7"/>
  <c r="G46" i="7"/>
  <c r="H46" i="7"/>
  <c r="I46" i="7"/>
  <c r="J46" i="7"/>
  <c r="K46" i="7"/>
  <c r="F47" i="7"/>
  <c r="G47" i="7"/>
  <c r="H47" i="7"/>
  <c r="I47" i="7"/>
  <c r="J47" i="7"/>
  <c r="K47" i="7"/>
  <c r="F48" i="7"/>
  <c r="G48" i="7"/>
  <c r="H48" i="7"/>
  <c r="I48" i="7"/>
  <c r="J48" i="7"/>
  <c r="K48" i="7"/>
  <c r="G15" i="12"/>
  <c r="H15" i="12"/>
  <c r="I15" i="12"/>
  <c r="G16" i="12"/>
  <c r="H16" i="12"/>
  <c r="I16" i="12"/>
  <c r="G17" i="12"/>
  <c r="H17" i="12"/>
  <c r="I17" i="12"/>
  <c r="G18" i="12"/>
  <c r="H18" i="12"/>
  <c r="I18" i="12"/>
  <c r="G19" i="12"/>
  <c r="H19" i="12"/>
  <c r="I19" i="12"/>
  <c r="G20" i="12"/>
  <c r="H20" i="12"/>
  <c r="I20" i="12"/>
  <c r="G21" i="12"/>
  <c r="H21" i="12"/>
  <c r="I21" i="12"/>
  <c r="G22" i="12"/>
  <c r="H22" i="12"/>
  <c r="I22" i="12"/>
  <c r="G23" i="12"/>
  <c r="H23" i="12"/>
  <c r="I23" i="12"/>
  <c r="G24" i="12"/>
  <c r="H24" i="12"/>
  <c r="I24" i="12"/>
  <c r="G25" i="12"/>
  <c r="H25" i="12"/>
  <c r="I25" i="12"/>
  <c r="G26" i="12"/>
  <c r="H26" i="12"/>
  <c r="I26" i="12"/>
  <c r="G27" i="12"/>
  <c r="H27" i="12"/>
  <c r="I27" i="12"/>
  <c r="G28" i="12"/>
  <c r="H28" i="12"/>
  <c r="I28" i="12"/>
  <c r="G29" i="12"/>
  <c r="H29" i="12"/>
  <c r="I29" i="12"/>
  <c r="G30" i="12"/>
  <c r="H30" i="12"/>
  <c r="I30" i="12"/>
  <c r="G31" i="12"/>
  <c r="H31" i="12"/>
  <c r="I31" i="12"/>
  <c r="G32" i="12"/>
  <c r="H32" i="12"/>
  <c r="I32" i="12"/>
  <c r="J32" i="12"/>
  <c r="G33" i="12"/>
  <c r="H33" i="12"/>
  <c r="I33" i="12"/>
  <c r="G34" i="12"/>
  <c r="H34" i="12"/>
  <c r="I34" i="12"/>
  <c r="G35" i="12"/>
  <c r="H35" i="12"/>
  <c r="I35" i="12"/>
  <c r="F15" i="9"/>
  <c r="G15" i="9"/>
  <c r="H15" i="9"/>
  <c r="I15" i="9"/>
  <c r="J15" i="9"/>
  <c r="K15" i="9"/>
  <c r="L15" i="9"/>
  <c r="M15" i="9"/>
  <c r="N15" i="9"/>
  <c r="O15" i="9"/>
  <c r="P15" i="9"/>
  <c r="Q15" i="9"/>
  <c r="F16" i="9"/>
  <c r="G16" i="9"/>
  <c r="H16" i="9"/>
  <c r="I16" i="9"/>
  <c r="J16" i="9"/>
  <c r="K16" i="9"/>
  <c r="L16" i="9"/>
  <c r="M16" i="9"/>
  <c r="N16" i="9"/>
  <c r="O16" i="9"/>
  <c r="P16" i="9"/>
  <c r="Q16" i="9"/>
  <c r="R16" i="9"/>
  <c r="J16" i="11"/>
  <c r="J16" i="12"/>
  <c r="F17" i="9"/>
  <c r="G17" i="9"/>
  <c r="H17" i="9"/>
  <c r="I17" i="9"/>
  <c r="J17" i="9"/>
  <c r="K17" i="9"/>
  <c r="L17" i="9"/>
  <c r="M17" i="9"/>
  <c r="N17" i="9"/>
  <c r="O17" i="9"/>
  <c r="P17" i="9"/>
  <c r="Q17" i="9"/>
  <c r="F18" i="9"/>
  <c r="G18" i="9"/>
  <c r="R18" i="9"/>
  <c r="H18" i="9"/>
  <c r="I18" i="9"/>
  <c r="J18" i="9"/>
  <c r="K18" i="9"/>
  <c r="L18" i="9"/>
  <c r="M18" i="9"/>
  <c r="N18" i="9"/>
  <c r="O18" i="9"/>
  <c r="P18" i="9"/>
  <c r="Q18" i="9"/>
  <c r="F19" i="9"/>
  <c r="G19" i="9"/>
  <c r="H19" i="9"/>
  <c r="I19" i="9"/>
  <c r="J19" i="9"/>
  <c r="K19" i="9"/>
  <c r="L19" i="9"/>
  <c r="M19" i="9"/>
  <c r="N19" i="9"/>
  <c r="O19" i="9"/>
  <c r="P19" i="9"/>
  <c r="Q19" i="9"/>
  <c r="F20" i="9"/>
  <c r="G20" i="9"/>
  <c r="H20" i="9"/>
  <c r="I20" i="9"/>
  <c r="J20" i="9"/>
  <c r="M20" i="9"/>
  <c r="N20" i="9"/>
  <c r="O20" i="9"/>
  <c r="F21" i="9"/>
  <c r="G21" i="9"/>
  <c r="H21" i="9"/>
  <c r="I21" i="9"/>
  <c r="J21" i="9"/>
  <c r="K21" i="9"/>
  <c r="L21" i="9"/>
  <c r="M21" i="9"/>
  <c r="N21" i="9"/>
  <c r="O21" i="9"/>
  <c r="P21" i="9"/>
  <c r="Q21" i="9"/>
  <c r="F22" i="9"/>
  <c r="G22" i="9"/>
  <c r="R22" i="9"/>
  <c r="H22" i="9"/>
  <c r="I22" i="9"/>
  <c r="J22" i="9"/>
  <c r="K22" i="9"/>
  <c r="L22" i="9"/>
  <c r="M22" i="9"/>
  <c r="N22" i="9"/>
  <c r="O22" i="9"/>
  <c r="P22" i="9"/>
  <c r="Q22" i="9"/>
  <c r="F23" i="9"/>
  <c r="G23" i="9"/>
  <c r="H23" i="9"/>
  <c r="I23" i="9"/>
  <c r="J23" i="9"/>
  <c r="K23" i="9"/>
  <c r="L23" i="9"/>
  <c r="M23" i="9"/>
  <c r="N23" i="9"/>
  <c r="O23" i="9"/>
  <c r="P23" i="9"/>
  <c r="F24" i="9"/>
  <c r="G24" i="9"/>
  <c r="H24" i="9"/>
  <c r="I24" i="9"/>
  <c r="J24" i="9"/>
  <c r="K24" i="9"/>
  <c r="L24" i="9"/>
  <c r="M24" i="9"/>
  <c r="N24" i="9"/>
  <c r="O24" i="9"/>
  <c r="P24" i="9"/>
  <c r="Q24" i="9"/>
  <c r="R24" i="9"/>
  <c r="S24" i="9"/>
  <c r="F25" i="9"/>
  <c r="G25" i="9"/>
  <c r="H25" i="9"/>
  <c r="I25" i="9"/>
  <c r="J25" i="9"/>
  <c r="K25" i="9"/>
  <c r="L25" i="9"/>
  <c r="M25" i="9"/>
  <c r="N25" i="9"/>
  <c r="O25" i="9"/>
  <c r="P25" i="9"/>
  <c r="Q25" i="9"/>
  <c r="F26" i="9"/>
  <c r="G26" i="9"/>
  <c r="R26" i="9"/>
  <c r="H26" i="9"/>
  <c r="I26" i="9"/>
  <c r="J26" i="9"/>
  <c r="K26" i="9"/>
  <c r="L26" i="9"/>
  <c r="M26" i="9"/>
  <c r="N26" i="9"/>
  <c r="O26" i="9"/>
  <c r="P26" i="9"/>
  <c r="Q26" i="9"/>
  <c r="F27" i="9"/>
  <c r="G27" i="9"/>
  <c r="H27" i="9"/>
  <c r="I27" i="9"/>
  <c r="J27" i="9"/>
  <c r="K27" i="9"/>
  <c r="L27" i="9"/>
  <c r="M27" i="9"/>
  <c r="N27" i="9"/>
  <c r="O27" i="9"/>
  <c r="P27" i="9"/>
  <c r="Q27" i="9"/>
  <c r="F28" i="9"/>
  <c r="G28" i="9"/>
  <c r="H28" i="9"/>
  <c r="I28" i="9"/>
  <c r="J28" i="9"/>
  <c r="K28" i="9"/>
  <c r="L28" i="9"/>
  <c r="M28" i="9"/>
  <c r="N28" i="9"/>
  <c r="O28" i="9"/>
  <c r="P28" i="9"/>
  <c r="Q28" i="9"/>
  <c r="R28" i="9"/>
  <c r="J28" i="11"/>
  <c r="F29" i="9"/>
  <c r="G29" i="9"/>
  <c r="H29" i="9"/>
  <c r="I29" i="9"/>
  <c r="J29" i="9"/>
  <c r="K29" i="9"/>
  <c r="L29" i="9"/>
  <c r="M29" i="9"/>
  <c r="N29" i="9"/>
  <c r="O29" i="9"/>
  <c r="P29" i="9"/>
  <c r="Q29" i="9"/>
  <c r="F30" i="9"/>
  <c r="G30" i="9"/>
  <c r="R30" i="9"/>
  <c r="H30" i="9"/>
  <c r="I30" i="9"/>
  <c r="J30" i="9"/>
  <c r="K30" i="9"/>
  <c r="L30" i="9"/>
  <c r="M30" i="9"/>
  <c r="N30" i="9"/>
  <c r="O30" i="9"/>
  <c r="P30" i="9"/>
  <c r="Q30" i="9"/>
  <c r="F31" i="9"/>
  <c r="G31" i="9"/>
  <c r="H31" i="9"/>
  <c r="I31" i="9"/>
  <c r="J31" i="9"/>
  <c r="K31" i="9"/>
  <c r="L31" i="9"/>
  <c r="M31" i="9"/>
  <c r="N31" i="9"/>
  <c r="O31" i="9"/>
  <c r="P31" i="9"/>
  <c r="Q31" i="9"/>
  <c r="F32" i="9"/>
  <c r="G32" i="9"/>
  <c r="H32" i="9"/>
  <c r="I32" i="9"/>
  <c r="J32" i="9"/>
  <c r="K32" i="9"/>
  <c r="L32" i="9"/>
  <c r="M32" i="9"/>
  <c r="N32" i="9"/>
  <c r="O32" i="9"/>
  <c r="P32" i="9"/>
  <c r="Q32" i="9"/>
  <c r="R32" i="9"/>
  <c r="S32" i="9"/>
  <c r="F33" i="9"/>
  <c r="G33" i="9"/>
  <c r="H33" i="9"/>
  <c r="I33" i="9"/>
  <c r="J33" i="9"/>
  <c r="K33" i="9"/>
  <c r="L33" i="9"/>
  <c r="M33" i="9"/>
  <c r="N33" i="9"/>
  <c r="O33" i="9"/>
  <c r="P33" i="9"/>
  <c r="Q33" i="9"/>
  <c r="S33" i="9"/>
  <c r="F34" i="9"/>
  <c r="G34" i="9"/>
  <c r="R34" i="9"/>
  <c r="H34" i="9"/>
  <c r="I34" i="9"/>
  <c r="J34" i="9"/>
  <c r="K34" i="9"/>
  <c r="L34" i="9"/>
  <c r="M34" i="9"/>
  <c r="N34" i="9"/>
  <c r="O34" i="9"/>
  <c r="P34" i="9"/>
  <c r="Q34" i="9"/>
  <c r="F35" i="9"/>
  <c r="G35" i="9"/>
  <c r="H35" i="9"/>
  <c r="I35" i="9"/>
  <c r="J35" i="9"/>
  <c r="K35" i="9"/>
  <c r="L35" i="9"/>
  <c r="M35" i="9"/>
  <c r="N35" i="9"/>
  <c r="O35" i="9"/>
  <c r="P35" i="9"/>
  <c r="Q35" i="9"/>
  <c r="F15" i="10"/>
  <c r="G15" i="10"/>
  <c r="H15" i="10"/>
  <c r="I15" i="10"/>
  <c r="J15" i="10"/>
  <c r="K15" i="10"/>
  <c r="L15" i="10"/>
  <c r="M15" i="10"/>
  <c r="N15" i="10"/>
  <c r="O15" i="10"/>
  <c r="P15" i="10"/>
  <c r="Q15" i="10"/>
  <c r="R15" i="10"/>
  <c r="K15" i="11"/>
  <c r="K16" i="10"/>
  <c r="L16" i="10"/>
  <c r="M16" i="10"/>
  <c r="N16" i="10"/>
  <c r="O16" i="10"/>
  <c r="P16" i="10"/>
  <c r="Q16" i="10"/>
  <c r="F17" i="10"/>
  <c r="G17" i="10"/>
  <c r="R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R19" i="10"/>
  <c r="K19" i="11"/>
  <c r="L19" i="11"/>
  <c r="F20" i="10"/>
  <c r="G20" i="10"/>
  <c r="H20" i="10"/>
  <c r="I20" i="10"/>
  <c r="J20" i="10"/>
  <c r="K20" i="10"/>
  <c r="L20" i="10"/>
  <c r="M20" i="10"/>
  <c r="N20" i="10"/>
  <c r="O20" i="10"/>
  <c r="P20" i="10"/>
  <c r="Q20" i="10"/>
  <c r="F21" i="10"/>
  <c r="G21" i="10"/>
  <c r="R21" i="10"/>
  <c r="H21" i="10"/>
  <c r="I21" i="10"/>
  <c r="J21" i="10"/>
  <c r="K21" i="10"/>
  <c r="L21" i="10"/>
  <c r="M21" i="10"/>
  <c r="N21" i="10"/>
  <c r="O21" i="10"/>
  <c r="P21" i="10"/>
  <c r="Q21" i="10"/>
  <c r="F22" i="10"/>
  <c r="G22" i="10"/>
  <c r="H22" i="10"/>
  <c r="I22" i="10"/>
  <c r="J22" i="10"/>
  <c r="K22" i="10"/>
  <c r="L22" i="10"/>
  <c r="M22" i="10"/>
  <c r="N22" i="10"/>
  <c r="O22" i="10"/>
  <c r="P22" i="10"/>
  <c r="Q22" i="10"/>
  <c r="F23" i="10"/>
  <c r="G23" i="10"/>
  <c r="H23" i="10"/>
  <c r="I23" i="10"/>
  <c r="J23" i="10"/>
  <c r="K23" i="10"/>
  <c r="L23" i="10"/>
  <c r="M23" i="10"/>
  <c r="N23" i="10"/>
  <c r="O23" i="10"/>
  <c r="P23" i="10"/>
  <c r="Q23" i="10"/>
  <c r="R23" i="10"/>
  <c r="K23" i="11"/>
  <c r="N32" i="13"/>
  <c r="F24" i="10"/>
  <c r="G24" i="10"/>
  <c r="H24" i="10"/>
  <c r="I24" i="10"/>
  <c r="J24" i="10"/>
  <c r="K24" i="10"/>
  <c r="L24" i="10"/>
  <c r="M24" i="10"/>
  <c r="N24" i="10"/>
  <c r="O24" i="10"/>
  <c r="P24" i="10"/>
  <c r="Q24" i="10"/>
  <c r="F25" i="10"/>
  <c r="G25" i="10"/>
  <c r="R25" i="10"/>
  <c r="H25" i="10"/>
  <c r="I25" i="10"/>
  <c r="J25" i="10"/>
  <c r="K25" i="10"/>
  <c r="L25" i="10"/>
  <c r="M25" i="10"/>
  <c r="N25" i="10"/>
  <c r="O25" i="10"/>
  <c r="P25" i="10"/>
  <c r="Q25" i="10"/>
  <c r="F26" i="10"/>
  <c r="G26" i="10"/>
  <c r="H26" i="10"/>
  <c r="I26" i="10"/>
  <c r="J26" i="10"/>
  <c r="K26" i="10"/>
  <c r="L26" i="10"/>
  <c r="M26" i="10"/>
  <c r="N26" i="10"/>
  <c r="O26" i="10"/>
  <c r="P26" i="10"/>
  <c r="Q26" i="10"/>
  <c r="F27" i="10"/>
  <c r="G27" i="10"/>
  <c r="H27" i="10"/>
  <c r="I27" i="10"/>
  <c r="J27" i="10"/>
  <c r="K27" i="10"/>
  <c r="L27" i="10"/>
  <c r="M27" i="10"/>
  <c r="N27" i="10"/>
  <c r="O27" i="10"/>
  <c r="P27" i="10"/>
  <c r="Q27" i="10"/>
  <c r="R27" i="10"/>
  <c r="K27" i="11"/>
  <c r="N35" i="13"/>
  <c r="F28" i="10"/>
  <c r="G28" i="10"/>
  <c r="H28" i="10"/>
  <c r="I28" i="10"/>
  <c r="J28" i="10"/>
  <c r="K28" i="10"/>
  <c r="L28" i="10"/>
  <c r="M28" i="10"/>
  <c r="N28" i="10"/>
  <c r="O28" i="10"/>
  <c r="P28" i="10"/>
  <c r="Q28" i="10"/>
  <c r="F29" i="10"/>
  <c r="G29" i="10"/>
  <c r="R29" i="10"/>
  <c r="H29" i="10"/>
  <c r="I29" i="10"/>
  <c r="J29" i="10"/>
  <c r="K29" i="10"/>
  <c r="L29" i="10"/>
  <c r="M29" i="10"/>
  <c r="N29" i="10"/>
  <c r="O29" i="10"/>
  <c r="P29" i="10"/>
  <c r="Q29" i="10"/>
  <c r="F30" i="10"/>
  <c r="G30" i="10"/>
  <c r="H30" i="10"/>
  <c r="I30" i="10"/>
  <c r="J30" i="10"/>
  <c r="K30" i="10"/>
  <c r="L30" i="10"/>
  <c r="M30" i="10"/>
  <c r="N30" i="10"/>
  <c r="O30" i="10"/>
  <c r="P30" i="10"/>
  <c r="Q30" i="10"/>
  <c r="F31" i="10"/>
  <c r="G31" i="10"/>
  <c r="H31" i="10"/>
  <c r="I31" i="10"/>
  <c r="J31" i="10"/>
  <c r="K31" i="10"/>
  <c r="L31" i="10"/>
  <c r="M31" i="10"/>
  <c r="N31" i="10"/>
  <c r="O31" i="10"/>
  <c r="P31" i="10"/>
  <c r="Q31" i="10"/>
  <c r="R31" i="10"/>
  <c r="K31" i="11"/>
  <c r="L31" i="11"/>
  <c r="F32" i="10"/>
  <c r="G32" i="10"/>
  <c r="H32" i="10"/>
  <c r="R32" i="10"/>
  <c r="J32" i="10"/>
  <c r="K32" i="10"/>
  <c r="L32" i="10"/>
  <c r="M32" i="10"/>
  <c r="N32" i="10"/>
  <c r="O32" i="10"/>
  <c r="P32" i="10"/>
  <c r="Q32" i="10"/>
  <c r="F33" i="10"/>
  <c r="G33" i="10"/>
  <c r="H33" i="10"/>
  <c r="R33" i="10"/>
  <c r="I33" i="10"/>
  <c r="J33" i="10"/>
  <c r="K33" i="10"/>
  <c r="L33" i="10"/>
  <c r="M33" i="10"/>
  <c r="N33" i="10"/>
  <c r="O33" i="10"/>
  <c r="P33" i="10"/>
  <c r="Q33" i="10"/>
  <c r="F34" i="10"/>
  <c r="G34" i="10"/>
  <c r="H34" i="10"/>
  <c r="I34" i="10"/>
  <c r="J34" i="10"/>
  <c r="K34" i="10"/>
  <c r="L34" i="10"/>
  <c r="M34" i="10"/>
  <c r="N34" i="10"/>
  <c r="O34" i="10"/>
  <c r="P34" i="10"/>
  <c r="Q34" i="10"/>
  <c r="R34" i="10"/>
  <c r="F35" i="10"/>
  <c r="G35" i="10"/>
  <c r="R35" i="10"/>
  <c r="H35" i="10"/>
  <c r="I35" i="10"/>
  <c r="J35" i="10"/>
  <c r="K35" i="10"/>
  <c r="L35" i="10"/>
  <c r="M35" i="10"/>
  <c r="N35" i="10"/>
  <c r="O35" i="10"/>
  <c r="P35" i="10"/>
  <c r="Q35" i="10"/>
  <c r="P9" i="16"/>
  <c r="S9" i="16"/>
  <c r="T9" i="16"/>
  <c r="O10" i="16"/>
  <c r="S10" i="16"/>
  <c r="T10" i="16"/>
  <c r="P11" i="16"/>
  <c r="S11" i="16"/>
  <c r="T11" i="16"/>
  <c r="P12" i="16"/>
  <c r="S12" i="16"/>
  <c r="T12" i="16"/>
  <c r="P13" i="16"/>
  <c r="S13" i="16"/>
  <c r="T13" i="16"/>
  <c r="P14" i="16"/>
  <c r="S14" i="16"/>
  <c r="T14" i="16"/>
  <c r="P15" i="16"/>
  <c r="S15" i="16"/>
  <c r="T15" i="16"/>
  <c r="P16" i="16"/>
  <c r="S16" i="16"/>
  <c r="T16" i="16"/>
  <c r="P17" i="16"/>
  <c r="S17" i="16"/>
  <c r="T17" i="16"/>
  <c r="O18" i="16"/>
  <c r="P18" i="16"/>
  <c r="O19" i="16"/>
  <c r="S19" i="16"/>
  <c r="O20" i="16"/>
  <c r="P20" i="16"/>
  <c r="J21" i="16"/>
  <c r="K21" i="16"/>
  <c r="L21" i="16"/>
  <c r="N21" i="16"/>
  <c r="P22" i="16"/>
  <c r="S22" i="16"/>
  <c r="T22" i="16"/>
  <c r="P23" i="16"/>
  <c r="S23" i="16"/>
  <c r="T23" i="16"/>
  <c r="O24" i="16"/>
  <c r="S24" i="16"/>
  <c r="T24" i="16"/>
  <c r="P25" i="16"/>
  <c r="S25" i="16"/>
  <c r="T25" i="16"/>
  <c r="P26" i="16"/>
  <c r="S26" i="16"/>
  <c r="T26" i="16"/>
  <c r="P27" i="16"/>
  <c r="O28" i="16"/>
  <c r="O29" i="16"/>
  <c r="P30" i="16"/>
  <c r="S30" i="16"/>
  <c r="T30" i="16"/>
  <c r="P31" i="16"/>
  <c r="T31" i="16"/>
  <c r="O32" i="16"/>
  <c r="P33" i="16"/>
  <c r="T33" i="16"/>
  <c r="P34" i="16"/>
  <c r="S34" i="16"/>
  <c r="T34" i="16"/>
  <c r="O37" i="16"/>
  <c r="R15" i="4"/>
  <c r="T15" i="4"/>
  <c r="U15" i="4"/>
  <c r="R16" i="4"/>
  <c r="T16" i="4"/>
  <c r="R17" i="4"/>
  <c r="R17" i="5"/>
  <c r="T17" i="4"/>
  <c r="U17" i="4"/>
  <c r="R18" i="4"/>
  <c r="T18" i="4"/>
  <c r="R19" i="4"/>
  <c r="R19" i="5"/>
  <c r="T19" i="4"/>
  <c r="J20" i="4"/>
  <c r="J20" i="5"/>
  <c r="K20" i="4"/>
  <c r="L20" i="4"/>
  <c r="L20" i="9"/>
  <c r="M20" i="4"/>
  <c r="M20" i="5"/>
  <c r="N20" i="4"/>
  <c r="N20" i="5"/>
  <c r="O20" i="4"/>
  <c r="O20" i="5"/>
  <c r="P20" i="4"/>
  <c r="P20" i="9"/>
  <c r="Q20" i="4"/>
  <c r="Q20" i="5"/>
  <c r="R21" i="4"/>
  <c r="R21" i="5"/>
  <c r="T21" i="4"/>
  <c r="R22" i="4"/>
  <c r="T22" i="4"/>
  <c r="R22" i="5"/>
  <c r="R23" i="4"/>
  <c r="T23" i="4"/>
  <c r="R24" i="4"/>
  <c r="T24" i="4"/>
  <c r="R24" i="5"/>
  <c r="Q25" i="4"/>
  <c r="R25" i="4"/>
  <c r="R25" i="5"/>
  <c r="T25" i="4"/>
  <c r="R26" i="4"/>
  <c r="R26" i="5"/>
  <c r="R27" i="4"/>
  <c r="R27" i="5"/>
  <c r="T27" i="4"/>
  <c r="R28" i="4"/>
  <c r="R28" i="5"/>
  <c r="R29" i="4"/>
  <c r="T29" i="4"/>
  <c r="R30" i="4"/>
  <c r="R30" i="5"/>
  <c r="R31" i="4"/>
  <c r="R32" i="4"/>
  <c r="T32" i="4"/>
  <c r="R33" i="4"/>
  <c r="T33" i="4"/>
  <c r="R33" i="5"/>
  <c r="R34" i="4"/>
  <c r="T34" i="4"/>
  <c r="R34" i="5"/>
  <c r="R35" i="4"/>
  <c r="R35" i="5"/>
  <c r="U35" i="5"/>
  <c r="H25" i="8"/>
  <c r="R36" i="4"/>
  <c r="R36" i="5"/>
  <c r="T36" i="4"/>
  <c r="R37" i="4"/>
  <c r="T37" i="4"/>
  <c r="R38" i="4"/>
  <c r="T38" i="4"/>
  <c r="T39" i="4"/>
  <c r="U39" i="4"/>
  <c r="R40" i="4"/>
  <c r="R33" i="9"/>
  <c r="J33" i="11"/>
  <c r="L38" i="13"/>
  <c r="T40" i="4"/>
  <c r="U40" i="4"/>
  <c r="K41" i="4"/>
  <c r="K41" i="5"/>
  <c r="R43" i="4"/>
  <c r="R43" i="5"/>
  <c r="T43" i="4"/>
  <c r="R44" i="4"/>
  <c r="R44" i="5"/>
  <c r="R45" i="4"/>
  <c r="T45" i="4"/>
  <c r="R46" i="4"/>
  <c r="R46" i="5"/>
  <c r="U46" i="5"/>
  <c r="H29" i="8"/>
  <c r="T46" i="4"/>
  <c r="R47" i="4"/>
  <c r="R47" i="5"/>
  <c r="T47" i="4"/>
  <c r="R48" i="4"/>
  <c r="R48" i="5"/>
  <c r="T48" i="4"/>
  <c r="U46" i="4"/>
  <c r="O49" i="4"/>
  <c r="O50" i="4"/>
  <c r="P49" i="4"/>
  <c r="P50" i="4"/>
  <c r="F50" i="4"/>
  <c r="G50" i="4"/>
  <c r="H50" i="4"/>
  <c r="I50" i="4"/>
  <c r="J50" i="4"/>
  <c r="K50" i="4"/>
  <c r="L50" i="4"/>
  <c r="M50" i="4"/>
  <c r="N50" i="4"/>
  <c r="R15" i="6"/>
  <c r="T15" i="6"/>
  <c r="F16" i="6"/>
  <c r="G16" i="6"/>
  <c r="G16" i="7"/>
  <c r="G49" i="7"/>
  <c r="H50" i="7"/>
  <c r="H16" i="6"/>
  <c r="H16" i="10"/>
  <c r="I16" i="6"/>
  <c r="I16" i="7"/>
  <c r="J16" i="6"/>
  <c r="R17" i="6"/>
  <c r="T17" i="6"/>
  <c r="R18" i="6"/>
  <c r="R18" i="7"/>
  <c r="T18" i="6"/>
  <c r="R19" i="6"/>
  <c r="R19" i="7"/>
  <c r="T19" i="6"/>
  <c r="R20" i="6"/>
  <c r="R20" i="7"/>
  <c r="R21" i="6"/>
  <c r="R21" i="7"/>
  <c r="R22" i="6"/>
  <c r="R23" i="6"/>
  <c r="T23" i="6"/>
  <c r="R23" i="7"/>
  <c r="R24" i="6"/>
  <c r="T24" i="6"/>
  <c r="R24" i="7"/>
  <c r="R25" i="6"/>
  <c r="T25" i="6"/>
  <c r="R25" i="7"/>
  <c r="R26" i="6"/>
  <c r="T26" i="6"/>
  <c r="R26" i="7"/>
  <c r="R27" i="6"/>
  <c r="T27" i="6"/>
  <c r="R27" i="7"/>
  <c r="R28" i="6"/>
  <c r="R29" i="6"/>
  <c r="T29" i="6"/>
  <c r="R29" i="7"/>
  <c r="R30" i="6"/>
  <c r="T30" i="6"/>
  <c r="U30" i="6"/>
  <c r="R31" i="6"/>
  <c r="T31" i="6"/>
  <c r="R32" i="6"/>
  <c r="T32" i="6"/>
  <c r="R32" i="7"/>
  <c r="R33" i="6"/>
  <c r="T33" i="6"/>
  <c r="R33" i="7"/>
  <c r="R34" i="6"/>
  <c r="T34" i="6"/>
  <c r="R34" i="7"/>
  <c r="R35" i="6"/>
  <c r="T35" i="6"/>
  <c r="R36" i="6"/>
  <c r="R36" i="7"/>
  <c r="R37" i="6"/>
  <c r="R38" i="6"/>
  <c r="R38" i="7"/>
  <c r="T39" i="6"/>
  <c r="R40" i="6"/>
  <c r="R40" i="7"/>
  <c r="U40" i="7"/>
  <c r="J27" i="8"/>
  <c r="L27" i="8"/>
  <c r="R41" i="6"/>
  <c r="R41" i="7"/>
  <c r="T41" i="6"/>
  <c r="R42" i="6"/>
  <c r="R42" i="7"/>
  <c r="T42" i="6"/>
  <c r="R43" i="6"/>
  <c r="R43" i="7"/>
  <c r="T43" i="6"/>
  <c r="R44" i="6"/>
  <c r="R45" i="6"/>
  <c r="R45" i="7"/>
  <c r="R46" i="6"/>
  <c r="R47" i="6"/>
  <c r="T47" i="6"/>
  <c r="R47" i="7"/>
  <c r="R48" i="6"/>
  <c r="R48" i="7"/>
  <c r="T48" i="6"/>
  <c r="F50" i="6"/>
  <c r="G50" i="6"/>
  <c r="H50" i="6"/>
  <c r="I50" i="6"/>
  <c r="J50" i="6"/>
  <c r="K50" i="6"/>
  <c r="L50" i="6"/>
  <c r="M50" i="6"/>
  <c r="N50" i="6"/>
  <c r="O50" i="6"/>
  <c r="P50" i="6"/>
  <c r="Q50" i="6"/>
  <c r="R37" i="7"/>
  <c r="U35" i="7"/>
  <c r="J25" i="8"/>
  <c r="T37" i="6"/>
  <c r="K32" i="11"/>
  <c r="S32" i="10"/>
  <c r="K21" i="11"/>
  <c r="S21" i="10"/>
  <c r="J26" i="11"/>
  <c r="S26" i="9"/>
  <c r="J22" i="11"/>
  <c r="S22" i="9"/>
  <c r="J18" i="11"/>
  <c r="S18" i="9"/>
  <c r="L28" i="8"/>
  <c r="R44" i="7"/>
  <c r="U43" i="7"/>
  <c r="J28" i="8"/>
  <c r="T44" i="6"/>
  <c r="R17" i="7"/>
  <c r="U17" i="6"/>
  <c r="K35" i="11"/>
  <c r="S35" i="10"/>
  <c r="K33" i="11"/>
  <c r="S33" i="10"/>
  <c r="K17" i="11"/>
  <c r="S17" i="10"/>
  <c r="J34" i="11"/>
  <c r="S34" i="9"/>
  <c r="I50" i="7"/>
  <c r="J15" i="7"/>
  <c r="I49" i="7"/>
  <c r="Q49" i="5"/>
  <c r="R39" i="7"/>
  <c r="U39" i="7"/>
  <c r="U39" i="6"/>
  <c r="K29" i="11"/>
  <c r="S29" i="10"/>
  <c r="L29" i="8"/>
  <c r="T46" i="6"/>
  <c r="M38" i="13"/>
  <c r="L31" i="12"/>
  <c r="M31" i="11"/>
  <c r="K25" i="11"/>
  <c r="S25" i="10"/>
  <c r="J30" i="11"/>
  <c r="S30" i="9"/>
  <c r="L23" i="8"/>
  <c r="I24" i="8"/>
  <c r="I30" i="8"/>
  <c r="I31" i="8"/>
  <c r="R31" i="5"/>
  <c r="U30" i="5"/>
  <c r="H24" i="8"/>
  <c r="K34" i="11"/>
  <c r="S34" i="10"/>
  <c r="R30" i="10"/>
  <c r="R22" i="10"/>
  <c r="G16" i="10"/>
  <c r="R31" i="9"/>
  <c r="R19" i="9"/>
  <c r="K19" i="12"/>
  <c r="R30" i="7"/>
  <c r="U30" i="7"/>
  <c r="J24" i="8"/>
  <c r="K49" i="7"/>
  <c r="R45" i="5"/>
  <c r="U43" i="5"/>
  <c r="H28" i="8"/>
  <c r="R32" i="5"/>
  <c r="P49" i="5"/>
  <c r="R16" i="5"/>
  <c r="P18" i="14"/>
  <c r="P17" i="14"/>
  <c r="P28" i="2"/>
  <c r="T45" i="6"/>
  <c r="U43" i="6"/>
  <c r="T40" i="6"/>
  <c r="U40" i="6"/>
  <c r="T38" i="6"/>
  <c r="U35" i="6"/>
  <c r="T36" i="6"/>
  <c r="L24" i="8"/>
  <c r="T21" i="6"/>
  <c r="U19" i="6"/>
  <c r="T35" i="4"/>
  <c r="U35" i="4"/>
  <c r="T30" i="4"/>
  <c r="T28" i="4"/>
  <c r="T26" i="4"/>
  <c r="U22" i="4"/>
  <c r="R20" i="4"/>
  <c r="P19" i="16"/>
  <c r="P10" i="16"/>
  <c r="S27" i="10"/>
  <c r="R24" i="10"/>
  <c r="S19" i="10"/>
  <c r="S15" i="10"/>
  <c r="S28" i="9"/>
  <c r="R25" i="9"/>
  <c r="S16" i="9"/>
  <c r="K23" i="12"/>
  <c r="R31" i="7"/>
  <c r="H49" i="5"/>
  <c r="R18" i="5"/>
  <c r="U17" i="5"/>
  <c r="H21" i="8"/>
  <c r="O49" i="5"/>
  <c r="O50" i="5"/>
  <c r="G33" i="14"/>
  <c r="G30" i="8"/>
  <c r="G31" i="8"/>
  <c r="N14" i="15"/>
  <c r="R16" i="6"/>
  <c r="T16" i="6"/>
  <c r="U22" i="5"/>
  <c r="H23" i="8"/>
  <c r="O21" i="16"/>
  <c r="S20" i="16"/>
  <c r="R26" i="10"/>
  <c r="L19" i="12"/>
  <c r="M19" i="11"/>
  <c r="R18" i="10"/>
  <c r="I16" i="10"/>
  <c r="L15" i="11"/>
  <c r="N20" i="13"/>
  <c r="K15" i="12"/>
  <c r="R35" i="9"/>
  <c r="J28" i="12"/>
  <c r="L28" i="13"/>
  <c r="M28" i="13"/>
  <c r="R27" i="9"/>
  <c r="Q23" i="9"/>
  <c r="R23" i="9"/>
  <c r="R15" i="9"/>
  <c r="K31" i="12"/>
  <c r="K27" i="12"/>
  <c r="R15" i="7"/>
  <c r="H50" i="5"/>
  <c r="P20" i="5"/>
  <c r="I49" i="5"/>
  <c r="K49" i="5"/>
  <c r="C30" i="8"/>
  <c r="C31" i="8"/>
  <c r="E23" i="8"/>
  <c r="G23" i="8"/>
  <c r="J24" i="11"/>
  <c r="T22" i="6"/>
  <c r="T20" i="6"/>
  <c r="U19" i="7"/>
  <c r="J22" i="8"/>
  <c r="J16" i="7"/>
  <c r="J16" i="10"/>
  <c r="F16" i="7"/>
  <c r="F16" i="10"/>
  <c r="Q49" i="4"/>
  <c r="Q50" i="4"/>
  <c r="T44" i="4"/>
  <c r="U43" i="4"/>
  <c r="L33" i="11"/>
  <c r="J33" i="12"/>
  <c r="T31" i="4"/>
  <c r="I23" i="8"/>
  <c r="P24" i="16"/>
  <c r="S18" i="16"/>
  <c r="S31" i="10"/>
  <c r="R28" i="10"/>
  <c r="S23" i="10"/>
  <c r="R20" i="10"/>
  <c r="R29" i="9"/>
  <c r="R21" i="9"/>
  <c r="Q20" i="9"/>
  <c r="K20" i="9"/>
  <c r="R20" i="9"/>
  <c r="R17" i="9"/>
  <c r="Q25" i="5"/>
  <c r="L20" i="5"/>
  <c r="L49" i="5"/>
  <c r="M50" i="5"/>
  <c r="U15" i="5"/>
  <c r="N49" i="5"/>
  <c r="N50" i="5"/>
  <c r="J49" i="5"/>
  <c r="K50" i="5"/>
  <c r="F49" i="5"/>
  <c r="P33" i="14"/>
  <c r="D30" i="8"/>
  <c r="O26" i="2"/>
  <c r="D30" i="2"/>
  <c r="L30" i="2"/>
  <c r="L36" i="2"/>
  <c r="O21" i="2"/>
  <c r="G30" i="2"/>
  <c r="G36" i="2"/>
  <c r="C33" i="15"/>
  <c r="C34" i="15"/>
  <c r="C35" i="15"/>
  <c r="C62" i="15"/>
  <c r="I33" i="13"/>
  <c r="I42" i="13"/>
  <c r="E30" i="8"/>
  <c r="E31" i="8"/>
  <c r="K36" i="2"/>
  <c r="O28" i="2"/>
  <c r="I36" i="2"/>
  <c r="P35" i="2"/>
  <c r="P27" i="2"/>
  <c r="O24" i="2"/>
  <c r="M36" i="2"/>
  <c r="J20" i="11"/>
  <c r="S20" i="9"/>
  <c r="J23" i="11"/>
  <c r="S23" i="9"/>
  <c r="J17" i="11"/>
  <c r="S17" i="9"/>
  <c r="R22" i="7"/>
  <c r="U22" i="7"/>
  <c r="J23" i="8"/>
  <c r="U22" i="6"/>
  <c r="J15" i="11"/>
  <c r="S15" i="9"/>
  <c r="J19" i="11"/>
  <c r="S19" i="9"/>
  <c r="M33" i="11"/>
  <c r="Q38" i="13"/>
  <c r="L33" i="12"/>
  <c r="R16" i="10"/>
  <c r="K24" i="12"/>
  <c r="J24" i="12"/>
  <c r="U27" i="11"/>
  <c r="V27" i="11"/>
  <c r="L33" i="13"/>
  <c r="M33" i="13"/>
  <c r="J50" i="5"/>
  <c r="J27" i="11"/>
  <c r="S27" i="9"/>
  <c r="K18" i="11"/>
  <c r="S18" i="10"/>
  <c r="S49" i="6"/>
  <c r="I50" i="5"/>
  <c r="J25" i="11"/>
  <c r="S25" i="9"/>
  <c r="K24" i="11"/>
  <c r="N33" i="13"/>
  <c r="O33" i="13"/>
  <c r="S24" i="10"/>
  <c r="P50" i="5"/>
  <c r="J31" i="11"/>
  <c r="J31" i="12"/>
  <c r="S31" i="9"/>
  <c r="U15" i="6"/>
  <c r="N29" i="13"/>
  <c r="K29" i="12"/>
  <c r="J50" i="7"/>
  <c r="K17" i="12"/>
  <c r="L17" i="11"/>
  <c r="J21" i="11"/>
  <c r="S21" i="9"/>
  <c r="K28" i="11"/>
  <c r="S28" i="10"/>
  <c r="F49" i="7"/>
  <c r="R16" i="7"/>
  <c r="O20" i="13"/>
  <c r="P20" i="13"/>
  <c r="Q20" i="13"/>
  <c r="P21" i="16"/>
  <c r="S21" i="16"/>
  <c r="T21" i="16"/>
  <c r="T20" i="4"/>
  <c r="R49" i="4"/>
  <c r="R50" i="4"/>
  <c r="R20" i="5"/>
  <c r="U30" i="4"/>
  <c r="R49" i="6"/>
  <c r="R50" i="6"/>
  <c r="N39" i="13"/>
  <c r="K34" i="12"/>
  <c r="K25" i="12"/>
  <c r="N36" i="13"/>
  <c r="R46" i="7"/>
  <c r="U46" i="7"/>
  <c r="J29" i="8"/>
  <c r="U46" i="6"/>
  <c r="J49" i="7"/>
  <c r="K50" i="7"/>
  <c r="N40" i="13"/>
  <c r="K35" i="12"/>
  <c r="L23" i="13"/>
  <c r="L18" i="11"/>
  <c r="J18" i="12"/>
  <c r="L34" i="13"/>
  <c r="L26" i="11"/>
  <c r="J26" i="12"/>
  <c r="L32" i="11"/>
  <c r="N37" i="13"/>
  <c r="K32" i="12"/>
  <c r="H20" i="8"/>
  <c r="J29" i="11"/>
  <c r="S29" i="9"/>
  <c r="M15" i="11"/>
  <c r="L15" i="12"/>
  <c r="M19" i="12"/>
  <c r="K22" i="11"/>
  <c r="S22" i="10"/>
  <c r="L34" i="11"/>
  <c r="L39" i="13"/>
  <c r="M39" i="13"/>
  <c r="J34" i="12"/>
  <c r="O30" i="2"/>
  <c r="P30" i="2"/>
  <c r="P36" i="2"/>
  <c r="D36" i="2"/>
  <c r="O36" i="2"/>
  <c r="F50" i="5"/>
  <c r="G50" i="5"/>
  <c r="K20" i="11"/>
  <c r="K20" i="12"/>
  <c r="S20" i="10"/>
  <c r="L50" i="5"/>
  <c r="U15" i="7"/>
  <c r="R49" i="7"/>
  <c r="R50" i="7"/>
  <c r="T50" i="7"/>
  <c r="J35" i="11"/>
  <c r="S35" i="9"/>
  <c r="K26" i="11"/>
  <c r="S26" i="10"/>
  <c r="K30" i="11"/>
  <c r="S30" i="10"/>
  <c r="L30" i="11"/>
  <c r="L30" i="13"/>
  <c r="J30" i="12"/>
  <c r="M31" i="12"/>
  <c r="O31" i="12"/>
  <c r="Q50" i="5"/>
  <c r="K33" i="12"/>
  <c r="N38" i="13"/>
  <c r="L21" i="8"/>
  <c r="U17" i="7"/>
  <c r="J21" i="8"/>
  <c r="L31" i="13"/>
  <c r="J22" i="12"/>
  <c r="L22" i="11"/>
  <c r="K21" i="12"/>
  <c r="N26" i="13"/>
  <c r="L26" i="12"/>
  <c r="M26" i="12"/>
  <c r="M26" i="11"/>
  <c r="M23" i="13"/>
  <c r="R49" i="5"/>
  <c r="R50" i="5"/>
  <c r="T50" i="5"/>
  <c r="U19" i="5"/>
  <c r="S50" i="6"/>
  <c r="R24" i="12"/>
  <c r="K16" i="11"/>
  <c r="S16" i="10"/>
  <c r="L24" i="13"/>
  <c r="M24" i="13"/>
  <c r="J19" i="12"/>
  <c r="J23" i="12"/>
  <c r="L23" i="11"/>
  <c r="L32" i="13"/>
  <c r="O38" i="13"/>
  <c r="P38" i="13"/>
  <c r="N34" i="13"/>
  <c r="O34" i="13"/>
  <c r="K26" i="12"/>
  <c r="T49" i="7"/>
  <c r="J20" i="8"/>
  <c r="M15" i="12"/>
  <c r="L32" i="12"/>
  <c r="M32" i="11"/>
  <c r="Q37" i="13"/>
  <c r="O40" i="13"/>
  <c r="P40" i="13"/>
  <c r="S49" i="4"/>
  <c r="U19" i="4"/>
  <c r="S50" i="4"/>
  <c r="L28" i="11"/>
  <c r="K28" i="12"/>
  <c r="N28" i="13"/>
  <c r="M17" i="11"/>
  <c r="Q22" i="13"/>
  <c r="N22" i="13"/>
  <c r="L17" i="12"/>
  <c r="P27" i="13"/>
  <c r="O27" i="13"/>
  <c r="Q27" i="13"/>
  <c r="S27" i="11"/>
  <c r="O33" i="12"/>
  <c r="M33" i="12"/>
  <c r="M30" i="13"/>
  <c r="L35" i="11"/>
  <c r="L40" i="13"/>
  <c r="M40" i="13"/>
  <c r="J35" i="12"/>
  <c r="G50" i="7"/>
  <c r="F50" i="7"/>
  <c r="L21" i="11"/>
  <c r="L26" i="13"/>
  <c r="J21" i="12"/>
  <c r="L22" i="12"/>
  <c r="M22" i="11"/>
  <c r="M30" i="11"/>
  <c r="L30" i="12"/>
  <c r="M30" i="12"/>
  <c r="M34" i="11"/>
  <c r="Q39" i="13"/>
  <c r="L34" i="12"/>
  <c r="M34" i="12"/>
  <c r="M27" i="13"/>
  <c r="J29" i="12"/>
  <c r="L29" i="13"/>
  <c r="L29" i="11"/>
  <c r="P37" i="13"/>
  <c r="O37" i="13"/>
  <c r="P34" i="13"/>
  <c r="Q34" i="13"/>
  <c r="M34" i="13"/>
  <c r="O39" i="13"/>
  <c r="L27" i="11"/>
  <c r="J27" i="12"/>
  <c r="L35" i="13"/>
  <c r="O26" i="13"/>
  <c r="M31" i="13"/>
  <c r="K30" i="12"/>
  <c r="N30" i="13"/>
  <c r="O30" i="13"/>
  <c r="N31" i="13"/>
  <c r="O31" i="13"/>
  <c r="K22" i="12"/>
  <c r="L18" i="12"/>
  <c r="M18" i="12"/>
  <c r="M18" i="11"/>
  <c r="Q23" i="13"/>
  <c r="L25" i="11"/>
  <c r="L36" i="13"/>
  <c r="J25" i="12"/>
  <c r="K18" i="12"/>
  <c r="N23" i="13"/>
  <c r="O23" i="13"/>
  <c r="L24" i="11"/>
  <c r="J15" i="12"/>
  <c r="L20" i="13"/>
  <c r="M20" i="13"/>
  <c r="L22" i="13"/>
  <c r="M22" i="13"/>
  <c r="J17" i="12"/>
  <c r="L20" i="11"/>
  <c r="J20" i="12"/>
  <c r="L20" i="12"/>
  <c r="M20" i="11"/>
  <c r="Q25" i="13"/>
  <c r="P31" i="13"/>
  <c r="Q31" i="13"/>
  <c r="P29" i="13"/>
  <c r="Q29" i="13"/>
  <c r="M29" i="13"/>
  <c r="O22" i="12"/>
  <c r="M22" i="12"/>
  <c r="L35" i="12"/>
  <c r="M35" i="11"/>
  <c r="Q40" i="13"/>
  <c r="M17" i="12"/>
  <c r="O17" i="12"/>
  <c r="M24" i="11"/>
  <c r="L24" i="12"/>
  <c r="M24" i="12"/>
  <c r="P33" i="13"/>
  <c r="Q33" i="13"/>
  <c r="M36" i="13"/>
  <c r="P36" i="13"/>
  <c r="Q36" i="13"/>
  <c r="P30" i="13"/>
  <c r="Q30" i="13"/>
  <c r="O22" i="13"/>
  <c r="P22" i="13"/>
  <c r="M28" i="11"/>
  <c r="L28" i="12"/>
  <c r="O36" i="13"/>
  <c r="O32" i="12"/>
  <c r="M32" i="12"/>
  <c r="M25" i="11"/>
  <c r="L25" i="12"/>
  <c r="M25" i="12"/>
  <c r="M35" i="13"/>
  <c r="Q35" i="13"/>
  <c r="P35" i="13"/>
  <c r="M26" i="13"/>
  <c r="P26" i="13"/>
  <c r="M32" i="13"/>
  <c r="P32" i="13"/>
  <c r="Q32" i="13"/>
  <c r="O32" i="13"/>
  <c r="P23" i="13"/>
  <c r="M42" i="13"/>
  <c r="O29" i="13"/>
  <c r="M29" i="11"/>
  <c r="L29" i="12"/>
  <c r="M29" i="12"/>
  <c r="M21" i="11"/>
  <c r="Q26" i="13"/>
  <c r="L21" i="12"/>
  <c r="M21" i="12"/>
  <c r="O28" i="13"/>
  <c r="Q28" i="13"/>
  <c r="P28" i="13"/>
  <c r="M23" i="11"/>
  <c r="L23" i="12"/>
  <c r="M23" i="12"/>
  <c r="H22" i="8"/>
  <c r="H30" i="8"/>
  <c r="T49" i="5"/>
  <c r="M27" i="11"/>
  <c r="L27" i="12"/>
  <c r="M27" i="12"/>
  <c r="J30" i="8"/>
  <c r="L20" i="8"/>
  <c r="L30" i="8"/>
  <c r="L31" i="8"/>
  <c r="L16" i="11"/>
  <c r="K16" i="12"/>
  <c r="O28" i="12"/>
  <c r="M28" i="12"/>
  <c r="M35" i="12"/>
  <c r="O35" i="12"/>
  <c r="M16" i="11"/>
  <c r="Q21" i="13"/>
  <c r="L16" i="12"/>
  <c r="O42" i="13"/>
  <c r="M20" i="12"/>
  <c r="O19" i="12"/>
  <c r="M16" i="12"/>
  <c r="O15" i="12"/>
</calcChain>
</file>

<file path=xl/comments1.xml><?xml version="1.0" encoding="utf-8"?>
<comments xmlns="http://schemas.openxmlformats.org/spreadsheetml/2006/main">
  <authors>
    <author/>
  </authors>
  <commentList>
    <comment ref="P41" authorId="0" shapeId="0">
      <text>
        <r>
          <rPr>
            <sz val="10"/>
            <color indexed="8"/>
            <rFont val="Arial1"/>
          </rPr>
          <t>Chequear con una “X” o indicar el número si son más de 1</t>
        </r>
      </text>
    </comment>
  </commentList>
</comments>
</file>

<file path=xl/comments2.xml><?xml version="1.0" encoding="utf-8"?>
<comments xmlns="http://schemas.openxmlformats.org/spreadsheetml/2006/main">
  <authors>
    <author/>
  </authors>
  <commentList>
    <comment ref="P25" authorId="0" shapeId="0">
      <text>
        <r>
          <rPr>
            <sz val="10"/>
            <color indexed="8"/>
            <rFont val="Arial1"/>
          </rPr>
          <t>Chequear con una “X” o indicar el número si son más de 1</t>
        </r>
      </text>
    </comment>
  </commentList>
</comments>
</file>

<file path=xl/sharedStrings.xml><?xml version="1.0" encoding="utf-8"?>
<sst xmlns="http://schemas.openxmlformats.org/spreadsheetml/2006/main" count="1537" uniqueCount="465">
  <si>
    <t>CONTROL, EVALUACIÓN Y SEGUIMIENTO</t>
  </si>
  <si>
    <t>SEGUIMIENTO MODIFICACIONES AL PLAN DE ACCIÓN</t>
  </si>
  <si>
    <t>DEFINICIÓN DEL INDICADOR</t>
  </si>
  <si>
    <t>Nombre del Indicador</t>
  </si>
  <si>
    <t>Efectividad en la planeación de los proyectos de inversión</t>
  </si>
  <si>
    <t>Tipo de indicador</t>
  </si>
  <si>
    <t>EFECTIVIDAD</t>
  </si>
  <si>
    <t>Proyecto Asociado</t>
  </si>
  <si>
    <t>999. Aplica a todos los proyectos de inversión</t>
  </si>
  <si>
    <t>Proceso Asociado</t>
  </si>
  <si>
    <t>Direccionamiento Estratégico</t>
  </si>
  <si>
    <t>Objetivo del indicador</t>
  </si>
  <si>
    <t>Hacer seguimiento a la efectividad de la planeación de cada área en cada vigencia, haciendo seguimiento al número de modificaciones tanto en actividades como en recursos asignados.</t>
  </si>
  <si>
    <t>VIGENCIA</t>
  </si>
  <si>
    <t>MODIFICACIONES PLAN DE ACCIÓN</t>
  </si>
  <si>
    <t>Mes</t>
  </si>
  <si>
    <t>Día</t>
  </si>
  <si>
    <t># solicitud /contrato / convenio</t>
  </si>
  <si>
    <t>Solicitante / Entidad(es) Participante(s)</t>
  </si>
  <si>
    <t>Proyecto Acreditado</t>
  </si>
  <si>
    <t>Valor inicial presupuesto</t>
  </si>
  <si>
    <t>Valor modificación</t>
  </si>
  <si>
    <t>Valor final</t>
  </si>
  <si>
    <t>Proyecto Contra Acreditado</t>
  </si>
  <si>
    <t>Justificación Técnica</t>
  </si>
  <si>
    <t>Responsable del seguimiento a Modificaciones</t>
  </si>
  <si>
    <t>Nombre</t>
  </si>
  <si>
    <t>Cargo</t>
  </si>
  <si>
    <t>Código: 2EM-CES-F-04</t>
  </si>
  <si>
    <t>Fecha: 18/06/2015</t>
  </si>
  <si>
    <t>HOJA DE VIDA DEL INDICADOR</t>
  </si>
  <si>
    <t>Versión: 1</t>
  </si>
  <si>
    <t>Unidad de medida</t>
  </si>
  <si>
    <t>POR CIENTO</t>
  </si>
  <si>
    <t>Fórmula para su Cálculo</t>
  </si>
  <si>
    <t>Efectividad en Planes de Acción : Número total acumulado de las modificaciones en los Planes de Acción diferentes a los convenios interadministrativos</t>
  </si>
  <si>
    <t>Periodicidad / Fechas de medición</t>
  </si>
  <si>
    <t>TRIMESTRAL</t>
  </si>
  <si>
    <t>Fuente de los datos</t>
  </si>
  <si>
    <t>* Planes de Acción
* Respuesta y trámite a solicitudes de Modificación</t>
  </si>
  <si>
    <t>Meta</t>
  </si>
  <si>
    <t>Generar la línea base de control de modificaciones y consecuentemente reducir el porcentaje de aquellas por conceptos diferentes a los convenios interadministrativos.</t>
  </si>
  <si>
    <t>Variables del Producto</t>
  </si>
  <si>
    <t>* Número de modificaciones en cada proyecto de inversión
* Número total de modificaciones
* Número Total de modificaciones por concepto de convenios interadministrativos
* meta de convenios interadministrativos
* Total de Modificaciones por conceptos diferentes a los convenios interadministrativos</t>
  </si>
  <si>
    <t>Producto del Indicador</t>
  </si>
  <si>
    <t>Plan de Acción con seguimiento a las modificaciones</t>
  </si>
  <si>
    <t>Responsable del indicador (Nombre y cargo)</t>
  </si>
  <si>
    <t>Luis Fernando Mejía</t>
  </si>
  <si>
    <t>Diligenció  (Nombre y Cargo)</t>
  </si>
  <si>
    <t>José Alexander Alarcón Q.</t>
  </si>
  <si>
    <t>Jefe OAP</t>
  </si>
  <si>
    <t>Profesional Especializado</t>
  </si>
  <si>
    <t>SEGUIMIENTO AL INDICADOR</t>
  </si>
  <si>
    <t>AÑO</t>
  </si>
  <si>
    <t>Variable</t>
  </si>
  <si>
    <t>Ene.</t>
  </si>
  <si>
    <t>Feb.</t>
  </si>
  <si>
    <t>Mar.</t>
  </si>
  <si>
    <t>Abr.</t>
  </si>
  <si>
    <t>May.</t>
  </si>
  <si>
    <t>Jun.</t>
  </si>
  <si>
    <t>Jul.</t>
  </si>
  <si>
    <t>Ago.</t>
  </si>
  <si>
    <t>Sept.</t>
  </si>
  <si>
    <t>Oct.</t>
  </si>
  <si>
    <t>Nov.</t>
  </si>
  <si>
    <t>Dic.</t>
  </si>
  <si>
    <t>PROMEDIO</t>
  </si>
  <si>
    <t>TOTAL</t>
  </si>
  <si>
    <t>Proy 772</t>
  </si>
  <si>
    <t>Proy 783</t>
  </si>
  <si>
    <t>Proy 784</t>
  </si>
  <si>
    <t>Proy 787</t>
  </si>
  <si>
    <t>Proy 792</t>
  </si>
  <si>
    <t>Proy 794</t>
  </si>
  <si>
    <t>Proy 795</t>
  </si>
  <si>
    <t>Proy 914</t>
  </si>
  <si>
    <t>Proy 915</t>
  </si>
  <si>
    <t>Proy 944</t>
  </si>
  <si>
    <t>Total Modificaciones</t>
  </si>
  <si>
    <t>Mod Proyectos x Convenios  interadmin.</t>
  </si>
  <si>
    <t>1-783</t>
  </si>
  <si>
    <t>1-795/1-914/1-783/1-792</t>
  </si>
  <si>
    <t>1-795+1-795+1-795/1-915</t>
  </si>
  <si>
    <t>1-783/1-787/1-772/1-787/2-915</t>
  </si>
  <si>
    <t>1-914/1-915/1-783/1-795</t>
  </si>
  <si>
    <t>2-795</t>
  </si>
  <si>
    <t>Total Modific por Convenios Interadmin.</t>
  </si>
  <si>
    <t>Modific Presupuestales</t>
  </si>
  <si>
    <t>915/783/795/792</t>
  </si>
  <si>
    <t>795/783/914/792</t>
  </si>
  <si>
    <t>915/795</t>
  </si>
  <si>
    <t>792/784</t>
  </si>
  <si>
    <t>Total Modific Presupuestales</t>
  </si>
  <si>
    <t>Modificaciones Justificadas</t>
  </si>
  <si>
    <t>Total Modific por Otros conceptos</t>
  </si>
  <si>
    <t>ANÁLISIS DE DATOS</t>
  </si>
  <si>
    <t>ACCIÓN DE MEJORAMIENTO</t>
  </si>
  <si>
    <t>Acción Correctiva</t>
  </si>
  <si>
    <t>Acción Preventiva</t>
  </si>
  <si>
    <t>Oportunidad de Mejora</t>
  </si>
  <si>
    <t>X</t>
  </si>
  <si>
    <t>No requiere acción</t>
  </si>
  <si>
    <t>No. De la Acción</t>
  </si>
  <si>
    <t>Casi cada 1,5 días se realiza una modificación al Plan de Acción, con mayor frecuencia entre abril y mayo y entre septiembre y octubre, meses en los cuales se modifica el plan más de una vez al día. Los proyectos que han sufrido mayor cantidad de modificaciones son en su orden el 795, 783, 915, 914 y 792 que equivalen a un poco más del 96 %, de los cuales el 795 representa el 47% de la modificaciones.
En 2015 se realizaron 39 modificaciones justificadas en convenios interadministrativos y modificaciones presupuestales aprobadas por la SDP, es decir, se realizaron en promedio 3,25 modificaciones debidamente justificadas de las 15,25 de promedio mensual, así, cada mes se realizaron 12 modificaciones de los planes de acción con deficiente justificación. En este sentido es importante revisar las causas que originan este alto volumen de modificaciones del plan de acción de los proyectos de inversión y diseñar estrategias de planeación que involucre a las áreas responsables de la ejecución de los proyectos y el apoyo y asesoría de la Oficina de Planeación en procura de mejorar el proceso de planeación y ejecución de los Planes de Acción.</t>
  </si>
  <si>
    <t>Responsable del seguimiento y análisis del indicador</t>
  </si>
  <si>
    <t>Fecha de Corte</t>
  </si>
  <si>
    <t>Fecha Diligenciamiento</t>
  </si>
  <si>
    <t>Código Indicador</t>
  </si>
  <si>
    <t>1ES-DEI-IND-01</t>
  </si>
  <si>
    <t>Avance de las metas de los proyectos de inversión en cada vigencia.</t>
  </si>
  <si>
    <t>EFICACIA</t>
  </si>
  <si>
    <t>hacer seguimiento al avance de las metas establecidas en plan plurianual, particularmente de la vigencia</t>
  </si>
  <si>
    <t>SEGUIMIENTO A LAS METAS DE PROYECTOS DE INVERSIÓN</t>
  </si>
  <si>
    <t>PROY</t>
  </si>
  <si>
    <t>ACCIÓN</t>
  </si>
  <si>
    <t>META VIGENCIA</t>
  </si>
  <si>
    <t>UNIDAD</t>
  </si>
  <si>
    <t>AVANCE VIGENCIA</t>
  </si>
  <si>
    <t>% ACUM VIGENCIA</t>
  </si>
  <si>
    <t>AVANCE PROM</t>
  </si>
  <si>
    <t>Atender</t>
  </si>
  <si>
    <t>niños y niñas</t>
  </si>
  <si>
    <t>Fortalecer y ampliar</t>
  </si>
  <si>
    <t>Espacios</t>
  </si>
  <si>
    <t>Formar en artes</t>
  </si>
  <si>
    <t>niños y adolescentes</t>
  </si>
  <si>
    <t>Vincular</t>
  </si>
  <si>
    <t>organizaciones artísticas</t>
  </si>
  <si>
    <t>Crear</t>
  </si>
  <si>
    <t>espacios</t>
  </si>
  <si>
    <t>Apoyar</t>
  </si>
  <si>
    <t>reconocimientos</t>
  </si>
  <si>
    <t>encuentros</t>
  </si>
  <si>
    <t>Alcanzar</t>
  </si>
  <si>
    <t>asistencias</t>
  </si>
  <si>
    <t>Que accedan a la oferta artística a través de medios masivos e internet</t>
  </si>
  <si>
    <t>personas</t>
  </si>
  <si>
    <t>Realizar</t>
  </si>
  <si>
    <t>actividades</t>
  </si>
  <si>
    <t>iniciativas</t>
  </si>
  <si>
    <t>Aumentar Programa de Salas
Concertadas y Los Festivales Artísticos, Teatrales y Culturales</t>
  </si>
  <si>
    <t>Por ciento</t>
  </si>
  <si>
    <t>Lograr acceso a actividades de fomento a la lectura y escritura</t>
  </si>
  <si>
    <t>Beneficiar</t>
  </si>
  <si>
    <t>iniciativas y espacios juveniles</t>
  </si>
  <si>
    <t>Apoyar la consolidación</t>
  </si>
  <si>
    <t>redes musicales</t>
  </si>
  <si>
    <t>Lograr que cuenten con programación</t>
  </si>
  <si>
    <t xml:space="preserve"> teatros del Centro Cultural Julio Mario Santo Domingo</t>
  </si>
  <si>
    <t>Apoyar con programación</t>
  </si>
  <si>
    <t>red de equipamientos</t>
  </si>
  <si>
    <t>Lograr la asistencia a las actividades del Planetario Distrital</t>
  </si>
  <si>
    <t>Lograr la participación</t>
  </si>
  <si>
    <t>actividades artísticas</t>
  </si>
  <si>
    <t>Adecuar, mantener y sostener</t>
  </si>
  <si>
    <t>escenarios culturales</t>
  </si>
  <si>
    <t>sedes</t>
  </si>
  <si>
    <t>Adecuar y dotar</t>
  </si>
  <si>
    <t>sede de la Galería Santa fe</t>
  </si>
  <si>
    <t>diseños e iniciar su construcción</t>
  </si>
  <si>
    <t>Nueva Cinemateca de Bogotá</t>
  </si>
  <si>
    <t>Llevar a cabo</t>
  </si>
  <si>
    <t>intervenciones locales</t>
  </si>
  <si>
    <t>Desarrollar</t>
  </si>
  <si>
    <t>procesos participativos</t>
  </si>
  <si>
    <t>participación en actividades de consulta, concertación, decisión y control social</t>
  </si>
  <si>
    <t>META  CUMPLIDA</t>
  </si>
  <si>
    <t>Diseñar e implementar</t>
  </si>
  <si>
    <t>herramienta de transparencia y probidad</t>
  </si>
  <si>
    <t>Poner en produccion e integrar</t>
  </si>
  <si>
    <t>aplicativos</t>
  </si>
  <si>
    <t>Alcanzar y mantener</t>
  </si>
  <si>
    <t>puntos de atencion al ciudadano</t>
  </si>
  <si>
    <t>Implementar</t>
  </si>
  <si>
    <t>Sistema de Gestión de Calidad</t>
  </si>
  <si>
    <t>seguidores en redes sociales</t>
  </si>
  <si>
    <t>impactos en medios masivos de comunicaciones</t>
  </si>
  <si>
    <t>Construir y mantener</t>
  </si>
  <si>
    <t>herramienta interna de comunicación organizacional</t>
  </si>
  <si>
    <t>AVANCE PROMEDIO</t>
  </si>
  <si>
    <t>AVANCE PONDERADO ACUMULADO</t>
  </si>
  <si>
    <t>Responsable del seguimiento a los Proyectos de Inversión</t>
  </si>
  <si>
    <t>PONDERACIÓN</t>
  </si>
  <si>
    <t>% AVANCE POND PROY</t>
  </si>
  <si>
    <t>Apoyar la consolidacion</t>
  </si>
  <si>
    <t>Lograr la participacion</t>
  </si>
  <si>
    <t>AVANCE PONDERADO</t>
  </si>
  <si>
    <t>Meta cumplida</t>
  </si>
  <si>
    <t>hacer seguimiento al avance de las metas de los proyectos de inversión establecidas en plan plurianual, particularmente de la vigencia</t>
  </si>
  <si>
    <t xml:space="preserve">* Avance Vigencia: Avance Meta de cada proyecto en la vigencia / Meta de cada proyecto en la vigencia
* Avance Ejecución : Avance ejecución de recursos en cada meta / Recursos asignados a cada meta de la vigencia
</t>
  </si>
  <si>
    <t>Plan Plurianual, Informes de Gestión de las Áreas</t>
  </si>
  <si>
    <t>100 % de cumplimiento en las metas anuales de los Proyectos de Inversión</t>
  </si>
  <si>
    <t xml:space="preserve">Avance Meta de cada proyecto de inversión en la vigencia
Meta de cada proyecto en la vigencia
</t>
  </si>
  <si>
    <t>Porcentaje de Avance de las metas anuales de los proyectos de inversión</t>
  </si>
  <si>
    <t>PROYECTO</t>
  </si>
  <si>
    <t>ACUMULADO</t>
  </si>
  <si>
    <t>FINAL</t>
  </si>
  <si>
    <t>NA</t>
  </si>
  <si>
    <t>GRÁFICAS</t>
  </si>
  <si>
    <r>
      <t xml:space="preserve">Los proyectos que presentan una ejecución bastante por encima del 100% son el 795 y 783, cuya explicación tiene relación con la oferta cultural y artística, que obedece a dos situaciones en especial, una tiene que ver con metas proyectadas al inicio del IDARTES, que fueron categorizadas como constantes, sin contar con el incremento exponencial del presupuesto de inversión entre 2012 y 2015; y la otra tiene que ver con el efecto de la creatividad e innovación que ha producido un importante crecimiento de la oferta, es decir, la variedad en la programación, la consolidación de la oferta musical y de teatro y el fortalecimiento de la danza, la literatura, las plásticas y las audiovisuales conjugadas con la ampliación de cobertura territorial, ha permitido llegar a muchas más personas y ha satisfecho de mejor manera la demanda de las prácticas artísticas y la diversidad de públicos.
En cuanto a los proyectos relacionados con la estimulación y aprestamiento en la primera infancia y la formación en artes de los educandos de colegios oficiales, que entre 2014 y 2015 tuvieron un importante desarrollo, presentan un cierre de plan de desarrollo que sugiere revisarse y analizarse con más cuidado. En lo que corresponde al proyecto 914 se observa una ejecución en 2016 de 64,5% frente a un 92,77% de 2015, pero no hay tal situación critica, toda vez que la dinámica del proyecto se desarrolla sobre la base a atención por periodos cortos a través de varias estrategias, lo que hace que empiece la vigencia con una cobertura limitada que va creciendo durante el año, que proyectando lo alcanzado al cierre del mes de mayo, se hace predecir que alcanzará una cobertura superior a la meta programada, de otra parte vale señalar que ya desde 2015 superó la meta correspondiente a puesta en marcha de espacios adecuados, por lo anterior se tomó como resultado final el alcanzado en 2015. En cuanto al proyecto 915, el cierre del plan de desarrollo presenta una situación contrastante, de una parte una reducción importante de los niños, niñas y adolescentes que se forman en artes, cuyas causas es importante revisar, determinar y corregir, teniendo en cuenta que se aumento la cobertura de número colegios, se ha consolidado la infraestructura de los CLAN y se han creado nuevos programas como Manos a la Obra y Súbete a la Escena, con el agravante que tiene relación con el número de estudiantes que participan en el proyecto al cierre de mayo, que muy </t>
    </r>
    <r>
      <rPr>
        <sz val="10"/>
        <color indexed="8"/>
        <rFont val="Arial"/>
        <family val="2"/>
      </rPr>
      <t>difícilmente</t>
    </r>
    <r>
      <rPr>
        <sz val="11"/>
        <color indexed="8"/>
        <rFont val="Arial"/>
        <family val="2"/>
      </rPr>
      <t xml:space="preserve"> va a aumentar, ya que la matricula de los colegios oficiales se consolida en marzo y se reduce después del receso escolar.
De otra parte el proyecto de menor grado de ejecución es el 792, que obedece a los retrasos en los proyectos de adecuación y dotación de la Galería Santa Fe y al bajo avance de la reciente meta de diseños e inicio de construcción de la Nueva Cinemateca Distrital, en gran medida en razón a que sus avances son el resultado de esfuerzos intersectoriales, que evidencian desarticulación y los usuales inconvenientes en proyectos de construcción de obras civiles, a la carencia institucional de un área de gestión para dirigir y hacer seguimiento de un proyecto de obra civil, que además debieron sortear las complejas condiciones y trámites que rodean a los bienes patrimoniales, al respecto será necesario fortalecer el equipo de trabajo y diseñar estrategias que dinamicen y permitan realizar un control y seguimiento adecuado de las obras de manera que cumplan los cronogramas y costos presupuestados.
En el caso del proyecto 784, no alcanzó la ejecución deseada en razón a que la entidad no alcanzo la implementación total del SIG, que tiene que ver con el </t>
    </r>
    <r>
      <rPr>
        <sz val="10"/>
        <color indexed="8"/>
        <rFont val="Arial"/>
        <family val="2"/>
      </rPr>
      <t>continuo</t>
    </r>
    <r>
      <rPr>
        <sz val="11"/>
        <color indexed="8"/>
        <rFont val="Arial"/>
        <family val="2"/>
      </rPr>
      <t xml:space="preserve">, sustancial y veloz crecimiento de la entidad, que se refleja en los resultados alcanzados, pero que impuso una dinámica que sobrepasó la capacidad institucional, además del hecho de desarrollo del SIG que ahora está integrado por 7 subsistemas. De igual manera el proyecto 772 se situó en el 93,33%, consecuencia de no lograr consolidar 6 espacios lúdicos, sociales o culturales para los adultos mayores, alcanzado 5 espacios, ni realizar los 5 encuentros culturales propuestos en la meta correspondiente y a pesar de superar la meta de reconocimientos de las expresiones culturales mediante estímulos, apoyos y alianzas de los diversos grupos poblacionales, sociales y etarios.
Por lo demás las metas de los proyectos de inversión 787, 944 y 794 relacionadas con llevar a cabo 4 intervenciones locales </t>
    </r>
    <r>
      <rPr>
        <sz val="10"/>
        <color indexed="8"/>
        <rFont val="Arial"/>
        <family val="2"/>
      </rPr>
      <t>mediante</t>
    </r>
    <r>
      <rPr>
        <sz val="11"/>
        <color indexed="8"/>
        <rFont val="Arial"/>
        <family val="2"/>
      </rPr>
      <t xml:space="preserve"> </t>
    </r>
    <r>
      <rPr>
        <sz val="10"/>
        <color indexed="8"/>
        <rFont val="Arial"/>
        <family val="2"/>
      </rPr>
      <t>estímulos</t>
    </r>
    <r>
      <rPr>
        <sz val="11"/>
        <color indexed="8"/>
        <rFont val="Arial"/>
        <family val="2"/>
      </rPr>
      <t xml:space="preserve">, alianzas o apoyos; desarrollar 6 procesos participativos en torno a las temáticas en el campo de las artes, con amplia participación de los agentes sectoriales, el aprovechamiento de los medios masivos de comunicación y el desarrollo de una herramienta interna de comunicación organizacional, se cumplieron sin mayores </t>
    </r>
    <r>
      <rPr>
        <sz val="10"/>
        <color indexed="8"/>
        <rFont val="Arial"/>
        <family val="2"/>
      </rPr>
      <t>tropiezos.</t>
    </r>
  </si>
  <si>
    <t>1ES-DEI-IND-02</t>
  </si>
  <si>
    <t>Avance nominal de las metas del Plan de Desarrollo del Distrito -porcentaje ponderado- en cada vigencia.</t>
  </si>
  <si>
    <t>META</t>
  </si>
  <si>
    <t>AVANCE</t>
  </si>
  <si>
    <t>% ACUM</t>
  </si>
  <si>
    <t>Aumentar anualmente de las Salas Concertadas</t>
  </si>
  <si>
    <t>presupuesto</t>
  </si>
  <si>
    <t>TIPO</t>
  </si>
  <si>
    <t>2012-2016</t>
  </si>
  <si>
    <t>INCREMENTAL</t>
  </si>
  <si>
    <t>ACUMULATIVA</t>
  </si>
  <si>
    <t>CONSTANTE</t>
  </si>
  <si>
    <t>Avance porcentual de las metas del Plan de Desarrollo del Distrito -porcentaje ponderado- en cada vigencia.</t>
  </si>
  <si>
    <t>PESO PROYECTO</t>
  </si>
  <si>
    <t>AVANCE POND PROYECTO</t>
  </si>
  <si>
    <t>hacer seguimiento al avance de las metas establecidas en plan de desarrollo</t>
  </si>
  <si>
    <t>* Avance Vigencia: Avance de las metas de cada proyecto prioritario en la vigencia /  Meta final del plan de desarrollo asignada al IDARTES</t>
  </si>
  <si>
    <t>Informes mensuales de cada área</t>
  </si>
  <si>
    <t>100 % de cumplimiento en las metas del PDD</t>
  </si>
  <si>
    <t xml:space="preserve">Avance acumulado de las Metas de cada Proyecto Prioritario del Plan de Desarrollo
</t>
  </si>
  <si>
    <t>Porcentaje de Avance de las metas del Plan de Desarrollo</t>
  </si>
  <si>
    <t>Funcionario responsable</t>
  </si>
  <si>
    <t>META PROY PRIOR.</t>
  </si>
  <si>
    <t>META IDARTES</t>
  </si>
  <si>
    <t>TIPO DE META</t>
  </si>
  <si>
    <t>TOTAL 2012-2016</t>
  </si>
  <si>
    <t xml:space="preserve"> ACUMULADO FINAL</t>
  </si>
  <si>
    <t>Involucrar al 100% de niños y niñas menores de 5 años que se encuentran en jardines infantiles, Hogares Comunitario y Fami del ICBF (actualmente atendidos), ámbito familiar y colegios públicos de la ciudad, en el disfrute, apreciación y creación artística, cultural y actividad física en el territorio</t>
  </si>
  <si>
    <t>niños y niñas en primera infancia</t>
  </si>
  <si>
    <t>Incremental</t>
  </si>
  <si>
    <t>Fortalecer y ampliar espacios de exploración y creación artística y actividad física en las 20 localidades para niños y niñas de primera infancia en espacios no convencionales como parques, bibliotecas, casas de cultura, ludotecas y centros de desarrollo comunitario entre otros</t>
  </si>
  <si>
    <t>espacios de exploración y creación artística</t>
  </si>
  <si>
    <t>Acumulativa</t>
  </si>
  <si>
    <t>Garantizar que 250.000 niños/as y adolescentes se beneficien con una jornada escolar de 40 horas semanales</t>
  </si>
  <si>
    <t>niños, niñas, jóvenes y adolescentes</t>
  </si>
  <si>
    <t>400 organizaciones y colectivos artísticos, recreativos y deportivos vinculados a la jornada única</t>
  </si>
  <si>
    <t>organizaciones y colectivos artísticos, culturales, deportivos y recreativos</t>
  </si>
  <si>
    <t>Fortalecer 20 espacios lúdicos, sociales, deportivos o culturales para la ocupación productiva del tiempo libre de las personas mayores en articulación intersectorial con el IDRD y con IDARTES</t>
  </si>
  <si>
    <t>espacios lúdicos, sociales o culturales</t>
  </si>
  <si>
    <t>Apoyar 600 acciones de reconocimiento de las expresiones culturales diversas mediante estímulos, apoyos y alianzas con organizaciones de grupos poblacionales y sectores sociales y etarios</t>
  </si>
  <si>
    <t>acciones de reconocimiento</t>
  </si>
  <si>
    <t>Realizar 5 acciones de encuentro intercultural entre las poblaciones diversas de la ciudad</t>
  </si>
  <si>
    <t>encuentro intercultural</t>
  </si>
  <si>
    <t>Construir y dotar 3 equipamientos culturales en áreas deficitarias y territorios prioritarios en las localidades de ciudad Bolívar, La Candelaria y Usme</t>
  </si>
  <si>
    <t xml:space="preserve"> una sede (Galería Santa Fe)</t>
  </si>
  <si>
    <t>Una red de equipamientos culturales accesibles, polivalentes (atienden distintas disciplinas artísticas), sostenibles (con modelo de gestión), construidos y dotados en territorios con déficit</t>
  </si>
  <si>
    <t>una red de equipamientos de la ciudad</t>
  </si>
  <si>
    <t>Lograr 5.000.000 asistencias a la oferta pública de personas en condiciones de equidad, inclusión y no segregación</t>
  </si>
  <si>
    <t>Constante</t>
  </si>
  <si>
    <t>4.500 iniciativas apoyadas mediante estímulos, becas, apoyos concertados y alianzas estratégicas con enfoque poblacional y territorial</t>
  </si>
  <si>
    <t>Aumentar 20 por ciento Anual durante el Cuatrienio para el Programa de Salas Concertadas y los Festivales Artísticos, Teatrales y Culturales que hayan sido declarados Patrimonio Distrital o Nacional de Acuerdo con La Ley 1170 de 2007.</t>
  </si>
  <si>
    <t>por ciento</t>
  </si>
  <si>
    <t>Beneficiar 300 iniciativas y espacios juveniles, priorizando jóvenes en condición de vulnerabilidad</t>
  </si>
  <si>
    <t>Organizar y fortalecer la oferta y apropiación musical en la ciudad a través de 10 redes musicales en la ciudad</t>
  </si>
  <si>
    <t>redes</t>
  </si>
  <si>
    <t>Implementar el Plan de lectura, Escritura y Cultura Digital y lograr la participación de 600.000 personas en oportunidades que favorezcan el acceso a actividades de fomento a la lectura y escritura en condiciones de equidad, inclusión y no segregación</t>
  </si>
  <si>
    <t>Gestionar 6 intervenciones urbanas de iniciativa pública</t>
  </si>
  <si>
    <t>Desarrollar 6 procesos participativos para la planeación transversal de políticas públicas para superar la segregación</t>
  </si>
  <si>
    <t>procesos</t>
  </si>
  <si>
    <t>Implementar en 86 entidades (44 entidades, 22 hospitales y 20 localidades) siete herramientas de transparencia, probidad y cultura ciudadana y de la legalidad en el marco de una política distrital de transparencia y lucha contra la corrupción y en concordancia con el estatuto anti-corrupción.</t>
  </si>
  <si>
    <t>herramienta</t>
  </si>
  <si>
    <t>Implementar en el 100% de las entidades del distrito el Sistema Integrado de Gestión</t>
  </si>
  <si>
    <t>AVANCE PONDERADO ACUMULADO POR TIEMPO</t>
  </si>
  <si>
    <t>1ES-DEI-IND-03</t>
  </si>
  <si>
    <t>Racionalización de recursos no renovables, medido en términos de gastos (en $ pesos)</t>
  </si>
  <si>
    <t>hacer seguimiento a la apropiación de implementación del PIGA en sus funcionarios, siguiendo la incorporación de hábitos de manejo racional de recursos no renovables de los funcionarios.</t>
  </si>
  <si>
    <t>UNIDAD MEDIDA</t>
  </si>
  <si>
    <t>% Promedio</t>
  </si>
  <si>
    <t>CONSUMO DE PAPEL ENTIDAD</t>
  </si>
  <si>
    <t>NÚMERO DE DEPENDENCIAS</t>
  </si>
  <si>
    <t>CONSUMO  / DEPENDENCIA</t>
  </si>
  <si>
    <t>CONSUMO DE AGUA ENTIDAD</t>
  </si>
  <si>
    <t>CONSUMO  / CASA FERNANDEZ</t>
  </si>
  <si>
    <t>CONSUMO  / CASAS GEMELAS</t>
  </si>
  <si>
    <t>CONSUMO  / CALLE 12</t>
  </si>
  <si>
    <t>CONSUMO  / TJEG</t>
  </si>
  <si>
    <t>CONSUMO  / CASONA DE LA DANZA</t>
  </si>
  <si>
    <t>CONSUMO  / MEDIA TORTA</t>
  </si>
  <si>
    <t>CONSUMO  / PLANETARIO</t>
  </si>
  <si>
    <t>CONSUMO  / TEATRO EL PARQUE</t>
  </si>
  <si>
    <t>CONSUMO  / EDIFICIO PEDAGÓGICO</t>
  </si>
  <si>
    <t>CONSUMO  / TMJMSD</t>
  </si>
  <si>
    <t>CONSUMO  / CINEMATECA</t>
  </si>
  <si>
    <t>CONSUMO  / BODEGA</t>
  </si>
  <si>
    <t>CONSUMO LUZ ENTIDAD</t>
  </si>
  <si>
    <t>SEDE / ESCENARIO</t>
  </si>
  <si>
    <t>ENERGIA</t>
  </si>
  <si>
    <t>AGUA</t>
  </si>
  <si>
    <t>Enero – Junio</t>
  </si>
  <si>
    <t>Julio – Diciembre</t>
  </si>
  <si>
    <t>Total</t>
  </si>
  <si>
    <t>Kw</t>
  </si>
  <si>
    <t>$</t>
  </si>
  <si>
    <t>m³</t>
  </si>
  <si>
    <t>CASA FERNANDEZ</t>
  </si>
  <si>
    <t>CASAS GEMELAS</t>
  </si>
  <si>
    <t>SEDE SUB. ADMINISTRATIVA – CALLE 12</t>
  </si>
  <si>
    <t>TEATRO AL AIRE LIBRE LA MEDIA TORTA</t>
  </si>
  <si>
    <t>CASONA DE LA DANZA</t>
  </si>
  <si>
    <t>TEATRO MUNICIPAL JORGE ELIECER GAITAN</t>
  </si>
  <si>
    <t>CINEMATECA DISTRITAL</t>
  </si>
  <si>
    <t>PLANETARIO DE BOGOTA</t>
  </si>
  <si>
    <t>BODEGA IDARTES (NUEVA)</t>
  </si>
  <si>
    <t>CONSUMO DE PAPEL (Resma 500 Hojas)</t>
  </si>
  <si>
    <t>Resma</t>
  </si>
  <si>
    <t>Costo</t>
  </si>
  <si>
    <t>Enero a Junio</t>
  </si>
  <si>
    <t>Julio a Diciembre</t>
  </si>
  <si>
    <t>Valor Resma 2015</t>
  </si>
  <si>
    <t>DEPENDENCIA</t>
  </si>
  <si>
    <t>DIRECCION GENERAL</t>
  </si>
  <si>
    <t>PLANEACION</t>
  </si>
  <si>
    <t>COMUNICACIONES</t>
  </si>
  <si>
    <t>JURIDICA</t>
  </si>
  <si>
    <t>SISTEMAS</t>
  </si>
  <si>
    <t>CORRESPONDENCIA</t>
  </si>
  <si>
    <t>ATENCION AL CIUDADANO</t>
  </si>
  <si>
    <t>CONTROL INTERNO</t>
  </si>
  <si>
    <t>CALLE 12</t>
  </si>
  <si>
    <t>SUB ADM Y FRA</t>
  </si>
  <si>
    <t>ALMACEN</t>
  </si>
  <si>
    <t>CONTABILIDAD</t>
  </si>
  <si>
    <t>PRESUPUESTO</t>
  </si>
  <si>
    <t>TESORERIA</t>
  </si>
  <si>
    <t>ARCHIVO</t>
  </si>
  <si>
    <t>TALENTO HUMANO</t>
  </si>
  <si>
    <t>GESTION DOCUMENTAL</t>
  </si>
  <si>
    <t>PRODUCCION</t>
  </si>
  <si>
    <t>CASA GEMELAS</t>
  </si>
  <si>
    <t>SUBDIRECCION
DE ARTES</t>
  </si>
  <si>
    <t>ARTES PLASTICAS</t>
  </si>
  <si>
    <t>CONVOCATORIAS</t>
  </si>
  <si>
    <t>ARTE DRAMATICO</t>
  </si>
  <si>
    <t>DANZA</t>
  </si>
  <si>
    <t>LITERATURA</t>
  </si>
  <si>
    <t>MUSICA</t>
  </si>
  <si>
    <t>TJEG</t>
  </si>
  <si>
    <t>SUB EQUIP</t>
  </si>
  <si>
    <t>PLANETARIO BOGOTA</t>
  </si>
  <si>
    <t>MEDIA TORTA</t>
  </si>
  <si>
    <t>TEATRO AL PARQUE</t>
  </si>
  <si>
    <t>TEATRO EL PARQUE</t>
  </si>
  <si>
    <t>EDIFICIO PEDAGOGICO</t>
  </si>
  <si>
    <t>JORNADA UNICA</t>
  </si>
  <si>
    <t>TEJEDORES DE VIDA</t>
  </si>
  <si>
    <t>BODEGA IDARTES</t>
  </si>
  <si>
    <t>BODEGA</t>
  </si>
  <si>
    <t>CINEMATECA</t>
  </si>
  <si>
    <t>Total Dependencias</t>
  </si>
  <si>
    <t>DIRECCIONAMIENTO ESTRATEGICO INSTITUCIONAL</t>
  </si>
  <si>
    <t>AVANCE METAS PROYECTOS DE INVERSIÓN PLAN DE DESARROLLO “BOGOTÁ HUMANA” 2012-2016</t>
  </si>
  <si>
    <t>Eje Estructurante</t>
  </si>
  <si>
    <t>Programa</t>
  </si>
  <si>
    <t>Proyecto Prioritario</t>
  </si>
  <si>
    <t>Meta Plan de desarrollo</t>
  </si>
  <si>
    <t>Magnitud Meta PD IDARTES</t>
  </si>
  <si>
    <t>Proyecto de Inversión IDARTES</t>
  </si>
  <si>
    <t>Meta proyectos IDARTES
BOGOTÁ HUMANA</t>
  </si>
  <si>
    <t>Tipología de meta</t>
  </si>
  <si>
    <t>Naturaleza de la meta</t>
  </si>
  <si>
    <t>Ejecución 2012</t>
  </si>
  <si>
    <t>Ejecución 2013</t>
  </si>
  <si>
    <t>Ejecución 2014</t>
  </si>
  <si>
    <t>Meta 2015</t>
  </si>
  <si>
    <t>Ejecución 2015</t>
  </si>
  <si>
    <t>Ejecución Acumulada Diciembre 2015</t>
  </si>
  <si>
    <t>% Avance Plan Diciembre 2015</t>
  </si>
  <si>
    <t>Meta 2016</t>
  </si>
  <si>
    <t>Ejecución 2016</t>
  </si>
  <si>
    <t>Ejecución Acumulada Diciembre 2016</t>
  </si>
  <si>
    <t>% Avance Plan Mayo 2016</t>
  </si>
  <si>
    <t>1. Una ciudad que supera la segregación y la discriminación: el ser humano en el centro de las preocupaciones del desarrollo</t>
  </si>
  <si>
    <t>01. Garantía del desarrollo integral de la primera infancia</t>
  </si>
  <si>
    <t>103. Ambientes adecuados para el desarrollo de la primera infancia</t>
  </si>
  <si>
    <t>914.
Promoción de la apropiación artística en niños y niñas en primera infancia</t>
  </si>
  <si>
    <t>Atender a 92.000 niños y niñas en primera infancia que se encuentren en ámbito familiar y/o institucional, en actividades para el disfrute, apreciación y creación artística</t>
  </si>
  <si>
    <t>PLAN DE DESARROLLO</t>
  </si>
  <si>
    <t>Fortalecer y ampliar 65 espacios de exploración y creación artística en las localidades para niños y niñas de primera infancia en espacios no convencionales como parques, bibliotecas, casas de cultura, ludotecas y centros de desarrollo comunitario</t>
  </si>
  <si>
    <t>03. Construcción de saberes. Educación incluyente, diversa y de calidad para disfrutar y aprender</t>
  </si>
  <si>
    <t>115. Jornada educativa única para la excelencia académica y la formación integral</t>
  </si>
  <si>
    <t>915.
Promoción de la formación, apropiación y creación artística en niños, niñas y adolescentes en colegios de Bogotá.</t>
  </si>
  <si>
    <t>Realizar procesos de formación en artes para 65.216 niños, niñas y adolescentes de los colegios oficiales de Bogotá en jornada única</t>
  </si>
  <si>
    <t>Vincular 150 organizaciones y colectivos artísticos, culturales, deportivos y recreativos a la jornada única</t>
  </si>
  <si>
    <t>05. Lucha contra distintos tipos de discriminación y violencias por condición, situación, identidad, diferencia, diversidad o etapa del ciclo vital</t>
  </si>
  <si>
    <t>126. Las personas mayores, fuente de memoria y del saber</t>
  </si>
  <si>
    <t>772.
Reconocimiento de la diversidad y la interculturalidad a través de las artes</t>
  </si>
  <si>
    <t>Crear 6 espacios lúdicos, sociales o culturales para la ocupación productiva del tiempo libre de las personas mayores.</t>
  </si>
  <si>
    <t>128. Bogotá reconoce y apropia la diversidad y la interculturalidad</t>
  </si>
  <si>
    <t>Apoyar 100 acciones de reconocimiento de las expresiones culturales diversas mediante estímulos, apoyos y alianzas con organizaciones de grupos poblacionales y sectores sociales y etarios</t>
  </si>
  <si>
    <t>Apoyar al sector en la realización de 5 encuentros interculturales entre las poblaciones diversas de la ciudad</t>
  </si>
  <si>
    <t>08. Ejercicio de las libertades culturales y deportivas</t>
  </si>
  <si>
    <t>144. Arte, cultura y patrimonio en la transformación</t>
  </si>
  <si>
    <t>783.
Gestión, dotación, programación y aprovechamiento económico de los equipamientos culturales públicos</t>
  </si>
  <si>
    <t>Apoyar al sector en la consolidación del 49,9% de una red de equipamientos de la ciudad con programación permanente, próxima y diversa (10 equipamientos)</t>
  </si>
  <si>
    <t>792.
Adecuación, mantenimiento y amoblamiento de la infraestructura pública para las artes</t>
  </si>
  <si>
    <t>Adecuar y dotar una sede permanente de la Galería Santa Fe</t>
  </si>
  <si>
    <t>300000 personas asistan anualmente a las actividades de divulgación científica en el Planetario Distrital</t>
  </si>
  <si>
    <t>280000 personas participen  anualmente en actividades artísticas diversas, permanentes e incluyentes.</t>
  </si>
  <si>
    <t>795. Fortalecimiento de las prácticas artísticas en el Distrito Capital</t>
  </si>
  <si>
    <t>1140000 aistentes a la oferta pública de personas en condiciones de equidad, inclusión y no segregación</t>
  </si>
  <si>
    <t>Apoyar 2.486 iniciativas mediante estímulos, becas, apoyos concertados y alianzas estratégicas con enfoque poblacional y territorial  - Estímulos</t>
  </si>
  <si>
    <t>Aumentar 20 porciento anual durante el cuatrienio Para el Programa de Salas Concertadas y Los Festivales Artísticos, Teatrales y Culturales De Trayectoria Prioritariamente que hayan sido declarados Patrimonio Distrital O Nacional de Acuerdo Con La Ley 1170 De 2007.</t>
  </si>
  <si>
    <t>Aumentar 20 Porciento Anual Durante El Cuatrienio Para El Programa De SalasConcertadas Y Los Festivales Artísticos, Teatrales Y Culturales De TrayectoriaPrioritariamente Que Hayan Sido Declarados Patrimonio Distrital O Nacional DeAcuerdo Con La Ley 1170 De 2007.</t>
  </si>
  <si>
    <t>146. Ciudadanías juveniles</t>
  </si>
  <si>
    <t>Beneficiar 50 iniciativas y espacios juveniles priorizando jóvenes en condición de vulnerabilidad</t>
  </si>
  <si>
    <t>147. Bogotá capital creativa de la música</t>
  </si>
  <si>
    <t>Apoyar la consolidación de 7 redes para fortalecer la oferta y apropiación musical en la ciudad</t>
  </si>
  <si>
    <t>149. Fortalecimiento de la red de bibliotecas y fomento o valoración a la lectura</t>
  </si>
  <si>
    <t>Lograr la participación de 303.000 personas en oportunidades que favorezcan el acceso a actividades de fomento a la lectura y escritura en condiciones de equidad, inclusión y no segregación</t>
  </si>
  <si>
    <t>143. Corredores Culturales y Recreativos</t>
  </si>
  <si>
    <r>
      <t xml:space="preserve">Garantizar 11 corredores culturales y recreativos, reconocidos e intervenidos de manera integral y participativa, para el disfrute de la ciudadanía. </t>
    </r>
    <r>
      <rPr>
        <sz val="10"/>
        <color indexed="8"/>
        <rFont val="Segoe UI"/>
        <family val="2"/>
      </rPr>
      <t>(Meta retirada en 2013)</t>
    </r>
  </si>
  <si>
    <r>
      <t xml:space="preserve">10
</t>
    </r>
    <r>
      <rPr>
        <sz val="10"/>
        <color indexed="8"/>
        <rFont val="Segoe UI"/>
        <family val="2"/>
      </rPr>
      <t>(Meta retirada en 2013)</t>
    </r>
  </si>
  <si>
    <t>N.A.</t>
  </si>
  <si>
    <t>N.A</t>
  </si>
  <si>
    <t>Lograr que 260.000 personas accedan a la oferta pública del IDARTES a través de medios masivos de comunicación e internet</t>
  </si>
  <si>
    <t>INTERNA</t>
  </si>
  <si>
    <t>Realizar 10.000 actividades artisticas permanentes y diversas con criterios de proximidad, pertinencia y calidad</t>
  </si>
  <si>
    <t>16. Revitalización del centro ampliado</t>
  </si>
  <si>
    <t>177. Intervenciones urbanas priorizadas</t>
  </si>
  <si>
    <t>787.
Intervenciones urbanas a través de las artes</t>
  </si>
  <si>
    <t>Llevar a cabo 6 intervenciones locales mediante estímulos, alianzas o apoyos</t>
  </si>
  <si>
    <t>03. Una Bogotá que defiende y fortalece lo público</t>
  </si>
  <si>
    <t>24. Bogotá Humana: participa y decide</t>
  </si>
  <si>
    <t>215. Planeación y presupuesto participativo para la superación de la segregación y discriminación social, económica, espacial y cultural</t>
  </si>
  <si>
    <t>944.
Fortalecimiento de la capacidad institucional para promover la participación ciudadana y la construcción de probidad</t>
  </si>
  <si>
    <t>Desarrollar 6 procesos participativos en torno a las temáticas del campo de las artes.</t>
  </si>
  <si>
    <t>Lograr la participacion de 8.000 personas en actividades de consulta, concertación, decisión y control social de los asuntos artísticos</t>
  </si>
  <si>
    <t>26. Transparencia, probidad, lucha contra la corrupción y control social efectivo e incluyente</t>
  </si>
  <si>
    <t>222. Fortalecimiento de la capacidad institucional para identificar, prevenir y resolver problemas de corrupción y para identificar oportunidades de probidad</t>
  </si>
  <si>
    <t>Implementar en 86 entidades (44 entidades, 22 hospitales y 20 localidades) siete herramientas de transparencia, probidad y cultura ciudadana y de la legalidad en el marco de una política distrital de transparencia y lucha contra la corrupción y en concordancia con el estatuto anticorrupción.</t>
  </si>
  <si>
    <t>Diseñar e implementar 1 herramienta de transparencia y probidad en la entidad.</t>
  </si>
  <si>
    <t>31. Fortalecimiento de la función administrativa y desarrollo institucional</t>
  </si>
  <si>
    <t>235. Sistemas de mejoramiento de la gestión y de la capacidad operativa de las entidades</t>
  </si>
  <si>
    <t>784.
Fortalecimiento de la gestión institucional del Instituto Distrital de las Artes</t>
  </si>
  <si>
    <t>Implementar el (100% del) Sistema de Gestión de Calidad bajo la norma del Modelo Estándar de Control Interno MECI</t>
  </si>
  <si>
    <t>Poner en produccion e integrar 4 aplicativos en apoyo a la gestión institucional</t>
  </si>
  <si>
    <t>Alcanzar y mantener 2 puntos de atencion al ciudadano en el IDARTES</t>
  </si>
  <si>
    <t>Alcanzar 1.000.000 seguidores del IDARTES en nuevas tecnologias (redes sociales)</t>
  </si>
  <si>
    <t>794. Gestión de la divulgación, difusión y las comunicaciones en el Instituto Distrital de las Artes</t>
  </si>
  <si>
    <t>Alcanzar 3.000 impactos en medios masivos de comunicaciones</t>
  </si>
  <si>
    <t>Construir y mantener 1 herramienta interna de comunicación organizacional soportada en nuevas tecnologías</t>
  </si>
  <si>
    <t xml:space="preserve"> </t>
  </si>
  <si>
    <t>Porcentaje de cumplimiento del plan de trabajo del sistema de información sectorial, para el periodo de medición.</t>
  </si>
  <si>
    <t>hacer seguimiento al cumplimiento del plan de trabajo de información sectorial</t>
  </si>
  <si>
    <t>Número de Acciones de fortalecimiento del registro administrativo realizadas del plan de trabajo de información sectorial, para el periodo de medición / Número de Acciones de fortalecimiento del registro administrativo planeadas del plan de trabajo de información sectorial, para el periodo de medición</t>
  </si>
  <si>
    <t>SEMESTRAL</t>
  </si>
  <si>
    <t>Planes de generación de información</t>
  </si>
  <si>
    <t>100 % de cumplimiento del plan de trabajo de información sectorial</t>
  </si>
  <si>
    <t>* Número de Acciones de fortalecimiento del registro administrativo realizadas del plan de trabajo de información sectorial, para el periodo de medición
* Número de Acciones de fortalecimiento del registro administrativo planeadas del plan de trabajo de información sectorial, para el periodo de medición</t>
  </si>
  <si>
    <t>plan de trabajo del Sistema de información sectorial ejecutado</t>
  </si>
  <si>
    <t>VARIABLE</t>
  </si>
  <si>
    <t>% Avance</t>
  </si>
  <si>
    <t>ACCIONES DE FORTALECIMIENTO DEL REG. ADMIN REALIZADAS PLAN DE TRABAJO</t>
  </si>
  <si>
    <t>Marzo</t>
  </si>
  <si>
    <t>Junio</t>
  </si>
  <si>
    <t>Septiembre</t>
  </si>
  <si>
    <t>Diciembre</t>
  </si>
  <si>
    <t>ACCIONES DE FORTALECIMIENTO DEL REG. ADMIN PLANEADAS PLAN DE TRABAJO</t>
  </si>
  <si>
    <t>% DE EJECUCIÓN</t>
  </si>
  <si>
    <t>Si bien se adelantaron diferentes acciones para mejorar la calidad, oportunidad, uniformidad, integralidad y accesibilidad a los diferentes conjuntos de datos que aborda la Oficina de Planeación, se deben continuar con acciones que permitan el fácil acceso y consulta a través del portal de Internet de la entidad, seguir trabajando en hablar el mismo lenguaje y seguir construyendo y mejorando conjuntos de datos útiles y pertinentes. El presente indicador queda en consideración para ser eliminado y reformular un nuevo indicador que permita realizar mejores análisis respecto al avance de la entidad frente a los requerimientos de los sitemas de información sectorial.</t>
  </si>
  <si>
    <t>1ES-DEI-IND-04</t>
  </si>
  <si>
    <t>Vigencia</t>
  </si>
  <si>
    <t>Avance ponderado</t>
  </si>
  <si>
    <r>
      <rPr>
        <sz val="11"/>
        <color indexed="8"/>
        <rFont val="Arial"/>
        <family val="2"/>
      </rPr>
      <t>El avance acumulado promedio a cierre del Plan de Desarrollo “Bogotá Humana”, a corte de 31 de mayo de 2016 es del 93,47%, nivel de avance que se justifica en las siguientes circunstancias:</t>
    </r>
    <r>
      <rPr>
        <sz val="12"/>
        <color indexed="8"/>
        <rFont val="Arial"/>
        <family val="2"/>
      </rPr>
      <t xml:space="preserve">
</t>
    </r>
    <r>
      <rPr>
        <sz val="11"/>
        <color indexed="8"/>
        <rFont val="Arial"/>
        <family val="2"/>
      </rPr>
      <t>En lo que corresponde a las metas del proyecto 914, la atención de niños y niñas cierra con una cobertura de 42.885 equivalente al 46,61% de la meta, no obstante, vale señalar que en 2015 se alcanzó la atención de 80.027, equivalentes al 87%, además teniendo en cuenta la dinámica de atención, muy seguramente superará el 100% al finalizar la vigencia, si se acumulan los resultados de la meta del proyecto 993 - Experiencias artísticas para la primera infancia, del nuevo plan de desarrollo, que da continuidad a la meta referida. Por su parte la meta que corresponde a la adecuación de espacios de exploración artística, se cumplió desde la vigencia 2015, alcanzando un cumplimiento del 106,25%.
En lo que refiere a la meta de formación de niños, niñas y adolescentes del proyecto 915, en 2016 tuvo un retroceso al pasar su cobertura en 2015 de 58.960 beneficiarios a 48.935 en 2016, que significa haber bajado la cobertura del 90,41% al 75,04%, para lo cual se requerirá un análisis más profundo de cada una de sus estrategias, revisando los aspectos de logística, organización y dependencia de la asignación de estudiantes y colegios por parte de la SED en el caso de Jornada Única, teniendo en cuenta que se pasó de 111 colegios a 90, y de 52.553 a 45.589 estudiantes, es decir, una reducción de 21 colegios y una deserción mínima de 6.964 estudiantes; también vale la pena revisar la organización y operación de la línea de atención de Manos a la Obra que paso de 3.022 en 2015 a 1.559 en 2016, más cuando su fortaleza es la vinculación voluntaria, que evidencia falencias serias en su apropiación y fidelización, con deserción de 1.463 beneficiarios que representa una disminución del 48,41%; por su parte la estrategia denominada Súbete a la Escena, pasó de 3.088 en 2015 a 1.324 personas beneficiadas en 2016, que significa una disminución de cobertura de 1.764 personas beneficiadas equivalentes a una deserción del 57,12% de quienes venían formándose como artistas y grupos artísticos con proyección profesional, lo que implica una revisión profunda de la manera como se ha venido desarrollando la estrategia; así las cosas, es importante reflexionar y repensar desde sus aprendizajes, de manera que se mejoren y redefinan las estrategias del nuevo proyecto 982 Formación artística en la escuela y la ciudad, dentro del nuevo plan de desarrollo, que también hay que decir, asumió unas meta demasiado altas, que dependían en gran medida de la buena articulación y organización desde la SED, que no se dio. Por el contrario la meta que correspondió a organizaciones y colectivos artísticos, recreativos y deportivos vinculados a la jornada única, se cumplió sin mayores tropiezos alcanzando el 106,67% de cumplimiento, no obstante, hay que observar que desde el inicio del proyecto se vincularon 42 organizaciones, cuyos contratos en general se mantuvieron durante el desarrollo del proyecto y cuyos aprendizajes vale la pena rescatar en el desarrollo del proyecto de “Emprendimiento Artístico y Empleo del Artista”.
En cuanto al fortalecimiento de espacios lúdicos, sociales o culturales del proyecto 772, hay que decir, que en la vigencia 2016, presenta una ejecución bastante baja, de apenas el 33.33%, no obstante, el Idartes no solo ha tenido que fortalecer estos espacios, sino que además tuvo la tarea de crearlos, esfuerzo de mayor complejidad; el resultado al cierre del plan de desarrollo obedece a que los espacios se ejecutan normalmente en el segundo semestre de cada año, rescatando además que los espacios reportados son nuevos aportes a la meta, es decir, muy probablemente, al final de la vigencia se superarán los 6 espacios dedicados a los adultos mayores, que se verán seguramente reflejados en el nuevo Plan de Desarrollo. Por su parte la meta de apoyo a acciones de reconocimiento de las expresiones culturales diversas de grupos poblacionales y sectores sociales y etarios superó el 100%, alcanzando 111 apoyos, que bien vale señalar, al comienzo de la ejecución del plan de desarrollo estaban establecidos en 110 apoyos.
Por su parte la ejecución del proyecto 783 y su meta de Apoyar con programación el 49,9% de Una red de equipamientos culturales accesibles, polivalentes, sostenibles, construidos y dotados en territorios con déficit, alcanzó el avance del 41,56% definido en términos de recursos, equivalente al 83.29% de la meta.
Respecto a la meta del PDD de “Lograr 5.000.000 asistencias a la oferta pública de personas en condiciones de equidad, inclusión y no segregación”, que el Idartes asumió a través de los proyectos 783 y 795, tuvieron un cumplimiento muy por encima de las expectativas iniciales, por lo que bien vale pensar en diseñar instrumentos de medición más precisos y detallados y diseñar metas y mediciones asociadas a la apropiación de las prácticas artísticas y a medir los impactos en el consumo de la oferta.
Referente al apoyo de 2.486 iniciativas artísticas mediante estímulos, becas, apoyos concertados y alianzas estratégicas con enfoque poblacional y territorial, se alcanzaron a ejecutar 2.589 apoyos equivalentes al 104,14%, que dan cuenta de los muy buenos resultados de lo que le ha correspondido al Idartes del Programa Distrital de Estímulos. De igual forma la meta de Aumentar 20 % Anual durante el Cuatrienio para el Programa de Salas Concertadas y los Festivales Artísticos, Teatrales y Culturales de Trayectoria, se logró una ejecución del 107,7%, consolidando así aún más el sector teatral en Bogotá. En el mismo sentido, la meta del Idartes de beneficiar 50 iniciativas y espacios juveniles, priorizando jóvenes en condición de vulnerabilidad, se cumplió cabalmente logrando el 100%, sumando a los esfuerzos para sumar a la inclusión y acciones afirmativas con enfoque poblacional y diferencial. De otra parte, la tarea de organizar y fortalecer la oferta y apropiación musical en la ciudad a través de 7 redes musicales en la ciudad, no tuvo ejecución en la vigencia 2015, cerrando con 5 redes en 2015 y alcanzando un logro del 71,43%, que obliga a revisar las estrategias de fomento de las redes musicales, para ser tenidas en cuenta en el proyecto de emprendimiento del nuevo Plan de Desarrollo. Otra de las metas del proyecto 795 que se cumplieron satisfactoriamente, corresponde a lograr la participación de 303.000 personas en actividades de fomento a la lectura y escritura, alcanzando una ejecución del 103,47%, que indica la participación de 313.529 personas en los diferentes eventos que realizó la Gerencia de Literatura, completando así, las metas del proyecto 795 que en general tuvo unos resultados muy positivos en términos de acceso a la oferta artística y apropiación de las prácticas artísticas de los ciudadanos de Bogotá.
Lo correspondiente a la meta de intervenciones urbanas del proyecto 787 presenta un avance del 83,33%, reportando 5 de las 6 propuestas, no obstante, este resultado no refleja el importante aporte de las artes plásticas y el arte urbano al proceso de revitalización del Centro Ampliado, a través de la realización de intervenciones en el espacio público, con la participación de los agentes de las artes y la ciudadanía, buscando el mejoramiento, transformación y resignificación de los espacios, contribuyendo al reconocimiento y visibilización de la práctica de las artes plásticas y visuales, generando oportunidades a artistas de diferentes disciplinas. Así se han realizado 48 intervenciones plásticas en grafiti, mural y fotografía, agrupadas en 5 procesos de convocatoria o por invitación pública a artistas en las localidades de Mártires, La Candelaria, Santa Fe, Teusaquillo, Puente Aranda y Engativá, que además han beneficiado a 36 organizaciones artísticas y 164 artistas plásticos.
En el cumplimiento de la meta de desarrollar procesos participativos para la planeación transversal de políticas públicas para superar la segregación, el Instituto Distrital de las Artes el 100% de la meta propuesta, a través de los espacios determinados por el Sistema de Arte, Cultura y Patrimonio, como en el caso de los Consejos de Áreas Artísticas, considerados como espacios de concertación y deliberación en torno a planes, programas y proyectos en las áreas artísticas de artes plásticas, arte dramático, artes audiovisuales, danza, música y literatura, y que anualmente convocaron al sector a través de las Asambleas de Área Artística. En adición a los espacios formales, existieron en algunas áreas artísticas mesas distritales para la concertación de programas específicos. Adicionalmente desde 2013 se implementó una herramientas de transparencia, probidad y cultura ciudadana y de la legalidad, cumpliendo así con las metas del proyecto 944.
La meta relacionada con el Sistema Integrado de Gestión del proyecto 784 alcanzó un nivel de avance del 81,2% de acuerdo con la evaluación a través del sistema de información para el seguimiento a la implementación del SIG de las Entidades Distritales –SISIG-. El avance logrado es consecuencia de una parte de la ampliación de la estructura del SIG, que puso como reto la incorporación de nuevos subsistemas, como la Responsabilidad Social, la Administración de Riesgos y la Gestión de la Seguridad de la Información, además de la implementación de la Ley de Transparencia y en segundo término al crecimiento continuo y sustancial de la estructura, proyectos y procesos de gestión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</si>
</sst>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 #,##0.00_);_(&quot;$&quot;\ * \(#,##0.00\);_(&quot;$&quot;\ * &quot;-&quot;??_);_(@_)"/>
    <numFmt numFmtId="43" formatCode="_(* #,##0.00_);_(* \(#,##0.00\);_(* &quot;-&quot;??_);_(@_)"/>
    <numFmt numFmtId="164" formatCode="[$$-240A]#,##0.00;[Red]\([$$-240A]#,##0.00\)"/>
    <numFmt numFmtId="165" formatCode="#,##0.00\ ;&quot; (&quot;#,##0.00\);&quot; -&quot;00\ ;@\ "/>
    <numFmt numFmtId="166" formatCode="0.0%"/>
    <numFmt numFmtId="167" formatCode="[$$-240A]#,##0;[Red]\([$$-240A]#,##0\)"/>
    <numFmt numFmtId="168" formatCode="_-* #,##0.00_-;\-* #,##0.00_-;_-* \-??_-;_-@_-"/>
    <numFmt numFmtId="169" formatCode="[$-240A]dddd\,\ dd&quot; de &quot;mmmm&quot; de &quot;yyyy"/>
    <numFmt numFmtId="170" formatCode="[$-240A]hh:mm:ss\ AM/PM"/>
    <numFmt numFmtId="171" formatCode="_(&quot;$ &quot;* #,##0.00_);_(&quot;$ &quot;* \(#,##0.00\);_(&quot;$ &quot;* \-??_);_(@_)"/>
    <numFmt numFmtId="172" formatCode="_ * #,##0.00_ ;_ * \-#,##0.00_ ;_ * &quot;-&quot;??_ ;_ @_ "/>
  </numFmts>
  <fonts count="32">
    <font>
      <sz val="10"/>
      <color indexed="8"/>
      <name val="Arial"/>
      <family val="2"/>
    </font>
    <font>
      <b/>
      <i/>
      <sz val="16"/>
      <color indexed="8"/>
      <name val="Arial"/>
      <family val="2"/>
    </font>
    <font>
      <sz val="11"/>
      <color indexed="8"/>
      <name val="Calibri"/>
      <family val="2"/>
    </font>
    <font>
      <b/>
      <sz val="10"/>
      <color indexed="8"/>
      <name val="Arial"/>
      <family val="2"/>
    </font>
    <font>
      <b/>
      <i/>
      <u/>
      <sz val="10"/>
      <color indexed="8"/>
      <name val="Arial"/>
      <family val="2"/>
    </font>
    <font>
      <b/>
      <sz val="11"/>
      <color indexed="8"/>
      <name val="Arial"/>
      <family val="2"/>
    </font>
    <font>
      <sz val="12"/>
      <color indexed="8"/>
      <name val="Arial"/>
      <family val="2"/>
    </font>
    <font>
      <sz val="11"/>
      <color indexed="8"/>
      <name val="Arial"/>
      <family val="2"/>
    </font>
    <font>
      <sz val="12"/>
      <color indexed="8"/>
      <name val="Calibri"/>
      <family val="2"/>
    </font>
    <font>
      <sz val="9"/>
      <color indexed="8"/>
      <name val="Arial"/>
      <family val="2"/>
    </font>
    <font>
      <sz val="10"/>
      <color indexed="9"/>
      <name val="Arial"/>
      <family val="2"/>
    </font>
    <font>
      <b/>
      <sz val="14"/>
      <color indexed="8"/>
      <name val="Arial"/>
      <family val="2"/>
    </font>
    <font>
      <sz val="14"/>
      <color indexed="8"/>
      <name val="Arial"/>
      <family val="2"/>
    </font>
    <font>
      <sz val="8"/>
      <color indexed="8"/>
      <name val="Arial"/>
      <family val="2"/>
    </font>
    <font>
      <b/>
      <sz val="11"/>
      <color indexed="9"/>
      <name val="Arial"/>
      <family val="2"/>
    </font>
    <font>
      <sz val="10"/>
      <color indexed="8"/>
      <name val="Arial1"/>
    </font>
    <font>
      <sz val="11"/>
      <color indexed="9"/>
      <name val="Arial"/>
      <family val="2"/>
    </font>
    <font>
      <sz val="12"/>
      <color indexed="8"/>
      <name val="Calibri1"/>
    </font>
    <font>
      <b/>
      <sz val="10"/>
      <color indexed="9"/>
      <name val="Arial"/>
      <family val="2"/>
    </font>
    <font>
      <sz val="12"/>
      <color indexed="8"/>
      <name val="Arial1"/>
    </font>
    <font>
      <b/>
      <sz val="11"/>
      <color indexed="8"/>
      <name val="Calibri"/>
      <family val="2"/>
    </font>
    <font>
      <sz val="11"/>
      <color indexed="8"/>
      <name val="Calibri2"/>
    </font>
    <font>
      <b/>
      <sz val="11"/>
      <color indexed="8"/>
      <name val="Calibri2"/>
    </font>
    <font>
      <b/>
      <sz val="16"/>
      <color indexed="8"/>
      <name val="Calibri"/>
      <family val="2"/>
    </font>
    <font>
      <b/>
      <sz val="13"/>
      <color indexed="8"/>
      <name val="Arial"/>
      <family val="2"/>
    </font>
    <font>
      <sz val="10"/>
      <color indexed="8"/>
      <name val="Segoe UI"/>
      <family val="2"/>
    </font>
    <font>
      <sz val="10"/>
      <color indexed="8"/>
      <name val="Arial"/>
      <family val="2"/>
    </font>
    <font>
      <sz val="11"/>
      <color indexed="8"/>
      <name val="Calibri"/>
      <family val="2"/>
      <charset val="1"/>
    </font>
    <font>
      <sz val="10"/>
      <name val="Arial"/>
      <family val="2"/>
      <charset val="1"/>
    </font>
    <font>
      <sz val="10"/>
      <name val="Arial"/>
      <family val="2"/>
    </font>
    <font>
      <sz val="11"/>
      <color theme="1"/>
      <name val="Calibri"/>
      <family val="2"/>
      <scheme val="minor"/>
    </font>
    <font>
      <sz val="11"/>
      <color rgb="FF000000"/>
      <name val="Calibri"/>
      <family val="2"/>
      <charset val="1"/>
    </font>
  </fonts>
  <fills count="14">
    <fill>
      <patternFill patternType="none"/>
    </fill>
    <fill>
      <patternFill patternType="gray125"/>
    </fill>
    <fill>
      <patternFill patternType="solid">
        <fgColor indexed="49"/>
        <bgColor indexed="40"/>
      </patternFill>
    </fill>
    <fill>
      <patternFill patternType="solid">
        <fgColor indexed="9"/>
        <bgColor indexed="26"/>
      </patternFill>
    </fill>
    <fill>
      <patternFill patternType="solid">
        <fgColor indexed="44"/>
        <bgColor indexed="24"/>
      </patternFill>
    </fill>
    <fill>
      <patternFill patternType="solid">
        <fgColor indexed="13"/>
        <bgColor indexed="51"/>
      </patternFill>
    </fill>
    <fill>
      <patternFill patternType="solid">
        <fgColor indexed="15"/>
        <bgColor indexed="35"/>
      </patternFill>
    </fill>
    <fill>
      <patternFill patternType="solid">
        <fgColor indexed="47"/>
        <bgColor indexed="42"/>
      </patternFill>
    </fill>
    <fill>
      <patternFill patternType="solid">
        <fgColor indexed="27"/>
        <bgColor indexed="41"/>
      </patternFill>
    </fill>
    <fill>
      <patternFill patternType="solid">
        <fgColor indexed="55"/>
        <bgColor indexed="23"/>
      </patternFill>
    </fill>
    <fill>
      <patternFill patternType="solid">
        <fgColor indexed="50"/>
        <bgColor indexed="34"/>
      </patternFill>
    </fill>
    <fill>
      <patternFill patternType="solid">
        <fgColor indexed="40"/>
        <bgColor indexed="49"/>
      </patternFill>
    </fill>
    <fill>
      <patternFill patternType="solid">
        <fgColor indexed="26"/>
        <bgColor indexed="9"/>
      </patternFill>
    </fill>
    <fill>
      <patternFill patternType="solid">
        <fgColor indexed="22"/>
        <bgColor indexed="31"/>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s>
  <cellStyleXfs count="37">
    <xf numFmtId="0" fontId="0" fillId="0" borderId="0"/>
    <xf numFmtId="0" fontId="26" fillId="0" borderId="0">
      <alignment horizontal="left"/>
    </xf>
    <xf numFmtId="0" fontId="1" fillId="0" borderId="0">
      <alignment horizontal="center"/>
    </xf>
    <xf numFmtId="0" fontId="1" fillId="0" borderId="0">
      <alignment horizontal="center" textRotation="90"/>
    </xf>
    <xf numFmtId="165" fontId="26" fillId="0" borderId="0"/>
    <xf numFmtId="169" fontId="29" fillId="0" borderId="0" applyFill="0" applyBorder="0" applyAlignment="0" applyProtection="0"/>
    <xf numFmtId="43" fontId="30" fillId="0" borderId="0" applyFont="0" applyFill="0" applyBorder="0" applyAlignment="0" applyProtection="0"/>
    <xf numFmtId="170" fontId="2" fillId="0" borderId="0" applyFill="0" applyBorder="0" applyProtection="0">
      <alignment vertical="center"/>
    </xf>
    <xf numFmtId="172" fontId="29" fillId="0" borderId="0" applyFont="0" applyFill="0" applyBorder="0" applyAlignment="0" applyProtection="0"/>
    <xf numFmtId="168" fontId="2" fillId="0" borderId="0" applyFill="0" applyBorder="0" applyAlignment="0" applyProtection="0"/>
    <xf numFmtId="44" fontId="30" fillId="0" borderId="0" applyFont="0" applyFill="0" applyBorder="0" applyAlignment="0" applyProtection="0"/>
    <xf numFmtId="171" fontId="31" fillId="0" borderId="0"/>
    <xf numFmtId="44" fontId="2" fillId="0" borderId="0" applyFont="0" applyFill="0" applyBorder="0" applyAlignment="0" applyProtection="0"/>
    <xf numFmtId="0" fontId="26" fillId="0" borderId="0"/>
    <xf numFmtId="0" fontId="30" fillId="0" borderId="0"/>
    <xf numFmtId="0" fontId="2" fillId="0" borderId="0"/>
    <xf numFmtId="0" fontId="28" fillId="0" borderId="0"/>
    <xf numFmtId="0" fontId="30" fillId="0" borderId="0"/>
    <xf numFmtId="0" fontId="29" fillId="0" borderId="0"/>
    <xf numFmtId="0" fontId="29" fillId="0" borderId="0">
      <alignment vertical="center"/>
    </xf>
    <xf numFmtId="0" fontId="29" fillId="0" borderId="0">
      <alignment vertical="center"/>
    </xf>
    <xf numFmtId="0" fontId="31" fillId="0" borderId="0"/>
    <xf numFmtId="0" fontId="29" fillId="0" borderId="0">
      <alignment vertical="center"/>
    </xf>
    <xf numFmtId="0" fontId="27" fillId="0" borderId="0"/>
    <xf numFmtId="0" fontId="2" fillId="0" borderId="0"/>
    <xf numFmtId="0" fontId="26" fillId="0" borderId="0"/>
    <xf numFmtId="0" fontId="26" fillId="0" borderId="0"/>
    <xf numFmtId="0" fontId="3" fillId="0" borderId="0"/>
    <xf numFmtId="0" fontId="3" fillId="0" borderId="0">
      <alignment horizontal="left"/>
    </xf>
    <xf numFmtId="0" fontId="26" fillId="0" borderId="0"/>
    <xf numFmtId="9" fontId="30" fillId="0" borderId="0" applyFont="0" applyFill="0" applyBorder="0" applyAlignment="0" applyProtection="0"/>
    <xf numFmtId="9" fontId="31" fillId="0" borderId="0"/>
    <xf numFmtId="9" fontId="2" fillId="0" borderId="0" applyFill="0" applyBorder="0" applyAlignment="0" applyProtection="0"/>
    <xf numFmtId="9" fontId="26" fillId="0" borderId="0"/>
    <xf numFmtId="9" fontId="26" fillId="0" borderId="0"/>
    <xf numFmtId="0" fontId="4" fillId="0" borderId="0"/>
    <xf numFmtId="164" fontId="4" fillId="0" borderId="0"/>
  </cellStyleXfs>
  <cellXfs count="218">
    <xf numFmtId="0" fontId="0" fillId="0" borderId="0" xfId="0"/>
    <xf numFmtId="0" fontId="0" fillId="0" borderId="0" xfId="0" applyAlignment="1">
      <alignment horizontal="center" vertical="center" wrapText="1"/>
    </xf>
    <xf numFmtId="0" fontId="0" fillId="0" borderId="2" xfId="0" applyFont="1" applyFill="1" applyBorder="1" applyAlignment="1">
      <alignment horizontal="center" vertical="center" wrapText="1"/>
    </xf>
    <xf numFmtId="0" fontId="0" fillId="0" borderId="0" xfId="0" applyFill="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2" xfId="4" applyNumberFormat="1" applyFont="1" applyBorder="1" applyAlignment="1">
      <alignment horizontal="center" vertical="center" wrapText="1"/>
    </xf>
    <xf numFmtId="0" fontId="7" fillId="0" borderId="2" xfId="4" applyNumberFormat="1" applyFont="1" applyBorder="1" applyAlignment="1">
      <alignment horizontal="center" vertical="center" wrapText="1"/>
    </xf>
    <xf numFmtId="3" fontId="8" fillId="0" borderId="2" xfId="0" applyNumberFormat="1" applyFont="1" applyFill="1" applyBorder="1" applyAlignment="1">
      <alignment horizontal="center" vertical="center" wrapText="1"/>
    </xf>
    <xf numFmtId="3" fontId="9" fillId="0" borderId="2" xfId="4" applyNumberFormat="1" applyFont="1" applyBorder="1" applyAlignment="1">
      <alignment horizontal="center" vertical="center" wrapText="1"/>
    </xf>
    <xf numFmtId="3" fontId="8" fillId="3"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9" fontId="10" fillId="0" borderId="2" xfId="33" applyFont="1" applyBorder="1" applyAlignment="1">
      <alignment horizontal="center" vertical="center" wrapText="1"/>
    </xf>
    <xf numFmtId="0" fontId="10" fillId="0" borderId="0" xfId="0" applyFont="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xf numFmtId="0" fontId="7" fillId="3" borderId="6" xfId="0" applyFont="1" applyFill="1" applyBorder="1"/>
    <xf numFmtId="0" fontId="7" fillId="3" borderId="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Border="1"/>
    <xf numFmtId="0" fontId="7" fillId="3" borderId="8" xfId="0" applyFont="1" applyFill="1" applyBorder="1"/>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0" xfId="0" applyFont="1" applyFill="1" applyBorder="1"/>
    <xf numFmtId="0" fontId="7" fillId="3" borderId="11" xfId="0" applyFont="1" applyFill="1" applyBorder="1"/>
    <xf numFmtId="0" fontId="0" fillId="0" borderId="2" xfId="0" applyFill="1" applyBorder="1"/>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2" fontId="7" fillId="0" borderId="2" xfId="4" applyNumberFormat="1" applyFont="1" applyBorder="1" applyAlignment="1">
      <alignment horizontal="center" vertical="center" wrapText="1"/>
    </xf>
    <xf numFmtId="3" fontId="7" fillId="0" borderId="2" xfId="4" applyNumberFormat="1" applyFont="1" applyBorder="1" applyAlignment="1">
      <alignment horizontal="center" vertical="center" wrapText="1"/>
    </xf>
    <xf numFmtId="0" fontId="14" fillId="0" borderId="0" xfId="4" applyNumberFormat="1" applyFont="1" applyBorder="1" applyAlignment="1">
      <alignment horizontal="center" vertical="center" wrapText="1"/>
    </xf>
    <xf numFmtId="10" fontId="7" fillId="0" borderId="2" xfId="4"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5" fillId="2" borderId="2" xfId="13" applyFont="1" applyFill="1" applyBorder="1" applyAlignment="1">
      <alignment horizontal="center" vertical="center" wrapText="1"/>
    </xf>
    <xf numFmtId="0" fontId="7" fillId="3"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10" fontId="5" fillId="0" borderId="2" xfId="4" applyNumberFormat="1" applyFont="1" applyBorder="1" applyAlignment="1">
      <alignment horizontal="center" vertical="center" wrapText="1"/>
    </xf>
    <xf numFmtId="0" fontId="3"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0" fillId="0" borderId="2" xfId="4" applyNumberFormat="1" applyFont="1" applyBorder="1" applyAlignment="1">
      <alignment horizontal="center" vertical="center" wrapText="1"/>
    </xf>
    <xf numFmtId="0" fontId="0" fillId="0" borderId="2" xfId="0" applyFont="1" applyBorder="1" applyAlignment="1">
      <alignment horizontal="center" vertical="center" wrapText="1"/>
    </xf>
    <xf numFmtId="9" fontId="3" fillId="0" borderId="2" xfId="0" applyNumberFormat="1" applyFont="1" applyFill="1" applyBorder="1" applyAlignment="1">
      <alignment horizontal="center" vertical="center" wrapText="1"/>
    </xf>
    <xf numFmtId="0" fontId="7" fillId="0" borderId="2" xfId="4" applyNumberFormat="1" applyFont="1" applyFill="1" applyBorder="1" applyAlignment="1">
      <alignment horizontal="center" vertical="center" wrapText="1"/>
    </xf>
    <xf numFmtId="10" fontId="5" fillId="0" borderId="2" xfId="0" applyNumberFormat="1" applyFont="1" applyBorder="1" applyAlignment="1">
      <alignment horizontal="center" vertical="center" wrapText="1"/>
    </xf>
    <xf numFmtId="9" fontId="7" fillId="0" borderId="2" xfId="4" applyNumberFormat="1" applyFont="1" applyBorder="1" applyAlignment="1">
      <alignment horizontal="center" vertical="center" wrapText="1"/>
    </xf>
    <xf numFmtId="10" fontId="7" fillId="0" borderId="2" xfId="4"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9" fontId="5" fillId="0" borderId="2" xfId="0" applyNumberFormat="1" applyFont="1" applyBorder="1" applyAlignment="1">
      <alignment horizontal="center" vertical="center" wrapText="1"/>
    </xf>
    <xf numFmtId="166" fontId="3" fillId="0" borderId="2"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6" borderId="2" xfId="0" applyFont="1" applyFill="1" applyBorder="1" applyAlignment="1">
      <alignment horizontal="center"/>
    </xf>
    <xf numFmtId="10" fontId="3" fillId="5" borderId="2" xfId="0" applyNumberFormat="1" applyFont="1" applyFill="1" applyBorder="1" applyAlignment="1">
      <alignment horizontal="center" vertical="center" wrapText="1"/>
    </xf>
    <xf numFmtId="10" fontId="0" fillId="0" borderId="2" xfId="0" applyNumberFormat="1" applyBorder="1" applyAlignment="1">
      <alignment horizontal="center"/>
    </xf>
    <xf numFmtId="10" fontId="0" fillId="7" borderId="2" xfId="4" applyNumberFormat="1" applyFont="1" applyFill="1" applyBorder="1" applyAlignment="1">
      <alignment horizontal="center" vertical="center" wrapText="1"/>
    </xf>
    <xf numFmtId="10" fontId="3" fillId="8" borderId="2" xfId="4" applyNumberFormat="1" applyFont="1" applyFill="1" applyBorder="1" applyAlignment="1">
      <alignment horizontal="center" vertical="center" wrapText="1"/>
    </xf>
    <xf numFmtId="10" fontId="3" fillId="0" borderId="2" xfId="4" applyNumberFormat="1" applyFont="1" applyBorder="1" applyAlignment="1">
      <alignment horizontal="center" vertical="center" wrapText="1"/>
    </xf>
    <xf numFmtId="0" fontId="16" fillId="0" borderId="0" xfId="0" applyFont="1" applyFill="1" applyBorder="1" applyAlignment="1">
      <alignment horizontal="center" vertical="center" wrapText="1"/>
    </xf>
    <xf numFmtId="10" fontId="10" fillId="0" borderId="0" xfId="0" applyNumberFormat="1" applyFont="1" applyFill="1" applyAlignment="1">
      <alignment horizontal="center" vertical="center" wrapText="1"/>
    </xf>
    <xf numFmtId="10" fontId="3" fillId="0" borderId="2" xfId="4" applyNumberFormat="1" applyFont="1" applyFill="1" applyBorder="1" applyAlignment="1">
      <alignment horizontal="center" vertical="center" wrapText="1"/>
    </xf>
    <xf numFmtId="10" fontId="3" fillId="7" borderId="2" xfId="4" applyNumberFormat="1" applyFont="1" applyFill="1" applyBorder="1" applyAlignment="1">
      <alignment horizontal="center" vertical="center" wrapText="1"/>
    </xf>
    <xf numFmtId="10" fontId="3" fillId="6" borderId="2" xfId="0" applyNumberFormat="1" applyFont="1" applyFill="1" applyBorder="1" applyAlignment="1">
      <alignment horizontal="center" vertical="center" wrapText="1"/>
    </xf>
    <xf numFmtId="10" fontId="0" fillId="6" borderId="2" xfId="0" applyNumberFormat="1" applyFill="1" applyBorder="1" applyAlignment="1">
      <alignment horizontal="center"/>
    </xf>
    <xf numFmtId="10" fontId="3" fillId="6" borderId="2" xfId="0" applyNumberFormat="1" applyFont="1" applyFill="1" applyBorder="1" applyAlignment="1">
      <alignment horizontal="center"/>
    </xf>
    <xf numFmtId="10" fontId="3" fillId="8" borderId="2" xfId="0" applyNumberFormat="1" applyFont="1" applyFill="1" applyBorder="1" applyAlignment="1">
      <alignment horizontal="center" vertical="center" wrapText="1"/>
    </xf>
    <xf numFmtId="10" fontId="0" fillId="6" borderId="2" xfId="0" applyNumberFormat="1" applyFill="1" applyBorder="1" applyAlignment="1">
      <alignment horizontal="center" vertical="center"/>
    </xf>
    <xf numFmtId="0" fontId="5" fillId="0" borderId="2" xfId="0" applyFont="1" applyBorder="1" applyAlignment="1">
      <alignment horizontal="center" vertical="center" wrapText="1"/>
    </xf>
    <xf numFmtId="10" fontId="5" fillId="7" borderId="2"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0" borderId="2" xfId="0" applyBorder="1"/>
    <xf numFmtId="0" fontId="0" fillId="0" borderId="2" xfId="0" applyFont="1" applyBorder="1" applyAlignment="1">
      <alignment horizontal="center"/>
    </xf>
    <xf numFmtId="3" fontId="0" fillId="0" borderId="2" xfId="4" applyNumberFormat="1" applyFont="1" applyBorder="1" applyAlignment="1">
      <alignment wrapText="1"/>
    </xf>
    <xf numFmtId="3" fontId="0" fillId="0" borderId="2" xfId="4" applyNumberFormat="1" applyFont="1" applyFill="1" applyBorder="1" applyAlignment="1">
      <alignment wrapText="1"/>
    </xf>
    <xf numFmtId="10" fontId="0" fillId="0" borderId="2" xfId="4" applyNumberFormat="1" applyFont="1" applyFill="1" applyBorder="1" applyAlignment="1">
      <alignment wrapText="1"/>
    </xf>
    <xf numFmtId="0" fontId="0" fillId="0" borderId="2" xfId="4" applyNumberFormat="1" applyFont="1" applyBorder="1" applyAlignment="1">
      <alignment wrapText="1"/>
    </xf>
    <xf numFmtId="3" fontId="7" fillId="4" borderId="2" xfId="4" applyNumberFormat="1" applyFont="1" applyFill="1" applyBorder="1" applyAlignment="1">
      <alignment horizontal="center" vertical="center" wrapText="1"/>
    </xf>
    <xf numFmtId="10" fontId="0" fillId="0" borderId="0" xfId="0" applyNumberFormat="1" applyAlignment="1">
      <alignment horizontal="center" vertical="center" wrapText="1"/>
    </xf>
    <xf numFmtId="4" fontId="7" fillId="0" borderId="2" xfId="4" applyNumberFormat="1" applyFont="1" applyBorder="1" applyAlignment="1">
      <alignment horizontal="center" vertical="center" wrapText="1"/>
    </xf>
    <xf numFmtId="4" fontId="7" fillId="4" borderId="2" xfId="4" applyNumberFormat="1" applyFont="1" applyFill="1" applyBorder="1" applyAlignment="1">
      <alignment horizontal="center" vertical="center" wrapText="1"/>
    </xf>
    <xf numFmtId="0" fontId="7" fillId="2" borderId="2" xfId="0" applyFont="1" applyFill="1" applyBorder="1"/>
    <xf numFmtId="0" fontId="7" fillId="2"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7" fillId="0" borderId="2" xfId="0" applyFont="1" applyBorder="1"/>
    <xf numFmtId="3" fontId="3" fillId="9"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5" fillId="10" borderId="2" xfId="4" applyNumberFormat="1" applyFont="1" applyFill="1" applyBorder="1" applyAlignment="1">
      <alignment horizontal="center" vertical="center" wrapText="1"/>
    </xf>
    <xf numFmtId="3" fontId="5" fillId="11" borderId="2" xfId="4" applyNumberFormat="1" applyFont="1" applyFill="1" applyBorder="1" applyAlignment="1">
      <alignment horizontal="center" vertical="center" wrapText="1"/>
    </xf>
    <xf numFmtId="10" fontId="5" fillId="0" borderId="2" xfId="4"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7" fillId="3" borderId="2" xfId="0" applyFont="1" applyFill="1" applyBorder="1" applyAlignment="1">
      <alignment horizontal="center" vertical="center" wrapText="1"/>
    </xf>
    <xf numFmtId="9" fontId="3" fillId="9" borderId="2" xfId="0" applyNumberFormat="1" applyFont="1" applyFill="1" applyBorder="1" applyAlignment="1">
      <alignment horizontal="center" vertical="center" wrapText="1"/>
    </xf>
    <xf numFmtId="9" fontId="3" fillId="2" borderId="2" xfId="33" applyFont="1" applyFill="1" applyBorder="1" applyAlignment="1">
      <alignment horizontal="center" vertical="center" wrapText="1"/>
    </xf>
    <xf numFmtId="10" fontId="3" fillId="7" borderId="2" xfId="0" applyNumberFormat="1" applyFont="1" applyFill="1" applyBorder="1" applyAlignment="1">
      <alignment horizontal="center" vertical="center" wrapText="1"/>
    </xf>
    <xf numFmtId="10" fontId="5" fillId="10" borderId="2" xfId="4" applyNumberFormat="1" applyFont="1" applyFill="1" applyBorder="1" applyAlignment="1">
      <alignment horizontal="center" vertical="center" wrapText="1"/>
    </xf>
    <xf numFmtId="10" fontId="5" fillId="11" borderId="2" xfId="4" applyNumberFormat="1" applyFont="1" applyFill="1" applyBorder="1" applyAlignment="1">
      <alignment horizontal="center" vertical="center" wrapText="1"/>
    </xf>
    <xf numFmtId="9" fontId="18" fillId="0" borderId="0" xfId="0" applyNumberFormat="1" applyFont="1" applyFill="1" applyBorder="1" applyAlignment="1">
      <alignment horizontal="center" vertical="center" wrapText="1"/>
    </xf>
    <xf numFmtId="166" fontId="3" fillId="9" borderId="2"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10" fontId="3" fillId="9" borderId="2" xfId="0" applyNumberFormat="1" applyFont="1" applyFill="1" applyBorder="1" applyAlignment="1">
      <alignment horizontal="center" vertical="center" wrapText="1"/>
    </xf>
    <xf numFmtId="0" fontId="3" fillId="0" borderId="2" xfId="0" applyFont="1" applyBorder="1"/>
    <xf numFmtId="10" fontId="7" fillId="0" borderId="2" xfId="0" applyNumberFormat="1" applyFont="1" applyBorder="1" applyAlignment="1">
      <alignment horizontal="center" vertical="center" wrapText="1"/>
    </xf>
    <xf numFmtId="0" fontId="7" fillId="3" borderId="4" xfId="0" applyFont="1" applyFill="1" applyBorder="1"/>
    <xf numFmtId="0" fontId="7" fillId="3" borderId="7" xfId="0" applyFont="1" applyFill="1" applyBorder="1"/>
    <xf numFmtId="0" fontId="7" fillId="3" borderId="9" xfId="0" applyFont="1" applyFill="1" applyBorder="1"/>
    <xf numFmtId="3" fontId="5" fillId="0" borderId="2" xfId="4"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xf numFmtId="0" fontId="7" fillId="0" borderId="6" xfId="0" applyFont="1" applyBorder="1"/>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xf numFmtId="0" fontId="7" fillId="0" borderId="8" xfId="0" applyFont="1" applyBorder="1"/>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xf numFmtId="0" fontId="7" fillId="0" borderId="11" xfId="0" applyFont="1" applyBorder="1"/>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xf>
    <xf numFmtId="0" fontId="2" fillId="0" borderId="1" xfId="0" applyFont="1" applyFill="1" applyBorder="1" applyAlignment="1">
      <alignment vertical="center"/>
    </xf>
    <xf numFmtId="167" fontId="0" fillId="0" borderId="2" xfId="0" applyNumberFormat="1" applyFill="1" applyBorder="1"/>
    <xf numFmtId="0" fontId="0" fillId="0" borderId="2" xfId="0" applyFill="1" applyBorder="1" applyAlignment="1">
      <alignment horizontal="right"/>
    </xf>
    <xf numFmtId="0" fontId="2" fillId="0" borderId="1" xfId="0" applyFont="1" applyFill="1" applyBorder="1" applyAlignment="1">
      <alignment vertical="center" wrapText="1"/>
    </xf>
    <xf numFmtId="0" fontId="3" fillId="12" borderId="2" xfId="0" applyFont="1" applyFill="1" applyBorder="1"/>
    <xf numFmtId="167" fontId="3" fillId="12" borderId="2" xfId="0" applyNumberFormat="1" applyFont="1" applyFill="1" applyBorder="1"/>
    <xf numFmtId="167" fontId="0" fillId="0" borderId="0" xfId="0" applyNumberFormat="1"/>
    <xf numFmtId="0" fontId="3" fillId="12" borderId="2" xfId="0" applyFont="1" applyFill="1" applyBorder="1" applyAlignment="1">
      <alignment horizontal="center"/>
    </xf>
    <xf numFmtId="164" fontId="0" fillId="0" borderId="2" xfId="0" applyNumberFormat="1" applyBorder="1"/>
    <xf numFmtId="164" fontId="3" fillId="12" borderId="2" xfId="0" applyNumberFormat="1" applyFont="1" applyFill="1" applyBorder="1"/>
    <xf numFmtId="0" fontId="20" fillId="12" borderId="12" xfId="0" applyFont="1" applyFill="1" applyBorder="1"/>
    <xf numFmtId="0" fontId="20" fillId="12" borderId="3" xfId="0" applyFont="1" applyFill="1" applyBorder="1"/>
    <xf numFmtId="0" fontId="21" fillId="0" borderId="2" xfId="0" applyFont="1" applyBorder="1" applyAlignment="1">
      <alignment wrapText="1"/>
    </xf>
    <xf numFmtId="0" fontId="0" fillId="0" borderId="2" xfId="0" applyFont="1" applyBorder="1" applyAlignment="1">
      <alignment horizontal="left"/>
    </xf>
    <xf numFmtId="0" fontId="22" fillId="0" borderId="0" xfId="0" applyFont="1" applyBorder="1" applyAlignment="1">
      <alignment wrapText="1"/>
    </xf>
    <xf numFmtId="0" fontId="3" fillId="0" borderId="0" xfId="0" applyFont="1"/>
    <xf numFmtId="0" fontId="0" fillId="0" borderId="0" xfId="0" applyAlignment="1">
      <alignment horizontal="center"/>
    </xf>
    <xf numFmtId="0" fontId="2" fillId="0" borderId="0" xfId="0" applyFont="1"/>
    <xf numFmtId="0" fontId="3" fillId="13" borderId="2" xfId="0" applyFont="1" applyFill="1" applyBorder="1" applyAlignment="1">
      <alignment horizontal="center" vertical="center" wrapText="1"/>
    </xf>
    <xf numFmtId="0" fontId="0" fillId="0" borderId="2" xfId="0" applyFont="1" applyFill="1" applyBorder="1" applyAlignment="1">
      <alignment horizontal="justify" vertical="center" wrapText="1"/>
    </xf>
    <xf numFmtId="3" fontId="0" fillId="0" borderId="2" xfId="0" applyNumberFormat="1" applyFont="1" applyFill="1" applyBorder="1" applyAlignment="1">
      <alignment horizontal="center" vertical="center" wrapText="1"/>
    </xf>
    <xf numFmtId="10" fontId="3" fillId="0" borderId="2" xfId="33" applyNumberFormat="1" applyFont="1" applyFill="1" applyBorder="1" applyAlignment="1" applyProtection="1">
      <alignment horizontal="center" vertical="center" wrapText="1"/>
    </xf>
    <xf numFmtId="166" fontId="0" fillId="0" borderId="2" xfId="0" applyNumberFormat="1" applyFont="1" applyFill="1" applyBorder="1" applyAlignment="1">
      <alignment horizontal="center" vertical="center" wrapText="1"/>
    </xf>
    <xf numFmtId="3" fontId="3" fillId="0" borderId="2" xfId="33" applyNumberFormat="1" applyFont="1" applyFill="1" applyBorder="1" applyAlignment="1" applyProtection="1">
      <alignment horizontal="center" vertical="center" wrapText="1"/>
    </xf>
    <xf numFmtId="10" fontId="0" fillId="0" borderId="0" xfId="0" applyNumberFormat="1"/>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xf>
    <xf numFmtId="0" fontId="0" fillId="0" borderId="2" xfId="0" applyFont="1" applyFill="1" applyBorder="1"/>
    <xf numFmtId="0" fontId="8" fillId="0" borderId="2" xfId="0" applyFont="1" applyFill="1" applyBorder="1" applyAlignment="1">
      <alignment horizontal="center" vertical="center" wrapText="1"/>
    </xf>
    <xf numFmtId="9" fontId="3" fillId="0" borderId="2" xfId="33" applyFont="1" applyFill="1" applyBorder="1" applyAlignment="1" applyProtection="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ill="1"/>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10" fontId="10" fillId="0" borderId="0" xfId="0" applyNumberFormat="1" applyFont="1" applyAlignment="1">
      <alignment horizontal="center" vertical="center" wrapText="1"/>
    </xf>
    <xf numFmtId="0" fontId="7" fillId="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13" borderId="2" xfId="0" applyFill="1" applyBorder="1"/>
    <xf numFmtId="0" fontId="0" fillId="2" borderId="2" xfId="0" applyFill="1" applyBorder="1"/>
    <xf numFmtId="0" fontId="5"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0" xfId="0" applyFill="1" applyBorder="1"/>
    <xf numFmtId="0" fontId="7"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2" xfId="13" applyFont="1" applyFill="1" applyBorder="1" applyAlignment="1">
      <alignment horizontal="center" vertical="center" wrapText="1"/>
    </xf>
    <xf numFmtId="0" fontId="7" fillId="3"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0" fillId="0" borderId="2" xfId="0" applyFill="1" applyBorder="1"/>
    <xf numFmtId="0" fontId="11" fillId="3"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10" fontId="7" fillId="0" borderId="2" xfId="0" applyNumberFormat="1" applyFont="1" applyFill="1" applyBorder="1" applyAlignment="1">
      <alignment horizontal="center" vertical="center" wrapText="1"/>
    </xf>
    <xf numFmtId="10" fontId="0" fillId="0" borderId="2" xfId="0" applyNumberFormat="1" applyFill="1" applyBorder="1" applyAlignment="1">
      <alignment horizontal="center" vertical="center"/>
    </xf>
    <xf numFmtId="10" fontId="5" fillId="0" borderId="2" xfId="0" applyNumberFormat="1" applyFont="1" applyFill="1" applyBorder="1" applyAlignment="1">
      <alignment horizontal="center" vertical="center" wrapText="1"/>
    </xf>
    <xf numFmtId="10" fontId="7" fillId="0" borderId="2" xfId="4"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justify" vertical="center" wrapText="1"/>
    </xf>
    <xf numFmtId="0" fontId="5" fillId="4" borderId="2" xfId="0" applyFont="1" applyFill="1" applyBorder="1" applyAlignment="1">
      <alignment horizontal="center" vertical="center"/>
    </xf>
    <xf numFmtId="2" fontId="7" fillId="0" borderId="2" xfId="4" applyNumberFormat="1" applyFont="1" applyFill="1" applyBorder="1" applyAlignment="1">
      <alignment horizontal="center" vertical="center" wrapText="1"/>
    </xf>
    <xf numFmtId="0" fontId="7" fillId="0" borderId="2" xfId="4" applyNumberFormat="1" applyFont="1" applyFill="1" applyBorder="1" applyAlignment="1">
      <alignment horizontal="center" vertical="center" wrapText="1"/>
    </xf>
    <xf numFmtId="3" fontId="7" fillId="0" borderId="2" xfId="4" applyNumberFormat="1" applyFont="1" applyFill="1" applyBorder="1" applyAlignment="1">
      <alignment horizontal="center" vertical="center" wrapText="1"/>
    </xf>
    <xf numFmtId="4" fontId="7" fillId="0" borderId="2" xfId="4"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ill="1" applyBorder="1" applyAlignment="1">
      <alignment horizontal="right" vertical="center"/>
    </xf>
    <xf numFmtId="167" fontId="0" fillId="0" borderId="2" xfId="0" applyNumberFormat="1" applyFill="1" applyBorder="1" applyAlignment="1">
      <alignment horizontal="center" vertical="center"/>
    </xf>
    <xf numFmtId="167" fontId="0" fillId="0" borderId="2" xfId="0" applyNumberFormat="1" applyFill="1" applyBorder="1" applyAlignment="1">
      <alignment horizontal="right" vertical="center"/>
    </xf>
    <xf numFmtId="167" fontId="0" fillId="0" borderId="2" xfId="0" applyNumberFormat="1" applyFill="1" applyBorder="1" applyAlignment="1">
      <alignment horizontal="right" vertical="center" wrapText="1"/>
    </xf>
    <xf numFmtId="0" fontId="0" fillId="0" borderId="2" xfId="0" applyFont="1" applyFill="1" applyBorder="1" applyAlignment="1">
      <alignment horizontal="center" vertical="center"/>
    </xf>
    <xf numFmtId="0" fontId="3" fillId="12"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5" fillId="0" borderId="2" xfId="4" applyNumberFormat="1"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37">
    <cellStyle name="Categoría del Piloto de Datos" xfId="1"/>
    <cellStyle name="Heading" xfId="2"/>
    <cellStyle name="Heading1" xfId="3"/>
    <cellStyle name="Millares" xfId="4" builtinId="3"/>
    <cellStyle name="Millares 11" xfId="5"/>
    <cellStyle name="Millares 2" xfId="6"/>
    <cellStyle name="Millares 2 2" xfId="7"/>
    <cellStyle name="Millares 2 3" xfId="8"/>
    <cellStyle name="Millares 3" xfId="9"/>
    <cellStyle name="Moneda 2" xfId="10"/>
    <cellStyle name="Moneda 3" xfId="11"/>
    <cellStyle name="Moneda 4" xfId="12"/>
    <cellStyle name="Normal" xfId="0" builtinId="0"/>
    <cellStyle name="Normal 2" xfId="13"/>
    <cellStyle name="Normal 2 2" xfId="14"/>
    <cellStyle name="Normal 2 2 5" xfId="15"/>
    <cellStyle name="Normal 2 3" xfId="16"/>
    <cellStyle name="Normal 2 4" xfId="17"/>
    <cellStyle name="Normal 3" xfId="18"/>
    <cellStyle name="Normal 35 2" xfId="19"/>
    <cellStyle name="Normal 37 2" xfId="20"/>
    <cellStyle name="Normal 4" xfId="21"/>
    <cellStyle name="Normal 42 2" xfId="22"/>
    <cellStyle name="Normal 5" xfId="23"/>
    <cellStyle name="Normal 6" xfId="24"/>
    <cellStyle name="Piloto de Datos Ángulo" xfId="25"/>
    <cellStyle name="Piloto de Datos Campo" xfId="26"/>
    <cellStyle name="Piloto de Datos Resultado" xfId="27"/>
    <cellStyle name="Piloto de Datos Título" xfId="28"/>
    <cellStyle name="Piloto de Datos Valor" xfId="29"/>
    <cellStyle name="Porcentaje 2" xfId="30"/>
    <cellStyle name="Porcentaje 3" xfId="31"/>
    <cellStyle name="Porcentaje 4" xfId="32"/>
    <cellStyle name="Porcentual" xfId="33"/>
    <cellStyle name="Porcentual 2" xfId="34"/>
    <cellStyle name="Result" xfId="35"/>
    <cellStyle name="Result2" xfId="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5000B"/>
      <rgbColor rgb="0000FF00"/>
      <rgbColor rgb="000000FF"/>
      <rgbColor rgb="00FFFF00"/>
      <rgbColor rgb="00FF00FF"/>
      <rgbColor rgb="0000FFFF"/>
      <rgbColor rgb="007E0021"/>
      <rgbColor rgb="00008000"/>
      <rgbColor rgb="00000080"/>
      <rgbColor rgb="00808000"/>
      <rgbColor rgb="00800080"/>
      <rgbColor rgb="00008080"/>
      <rgbColor rgb="00C0C0C0"/>
      <rgbColor rgb="00808080"/>
      <rgbColor rgb="0083CAFF"/>
      <rgbColor rgb="00993366"/>
      <rgbColor rgb="00FFFFCC"/>
      <rgbColor rgb="00CCFFFF"/>
      <rgbColor rgb="00660066"/>
      <rgbColor rgb="00FF8080"/>
      <rgbColor rgb="000066CC"/>
      <rgbColor rgb="00CCCCCC"/>
      <rgbColor rgb="00000080"/>
      <rgbColor rgb="00FF00FF"/>
      <rgbColor rgb="00AECF00"/>
      <rgbColor rgb="0000FFFF"/>
      <rgbColor rgb="00800080"/>
      <rgbColor rgb="00800000"/>
      <rgbColor rgb="00008080"/>
      <rgbColor rgb="000000FF"/>
      <rgbColor rgb="0000CCFF"/>
      <rgbColor rgb="00CCFFFF"/>
      <rgbColor rgb="00D9D9D9"/>
      <rgbColor rgb="00FFFF99"/>
      <rgbColor rgb="0099CCFF"/>
      <rgbColor rgb="00FF99CC"/>
      <rgbColor rgb="00B3B3B3"/>
      <rgbColor rgb="00FFCC99"/>
      <rgbColor rgb="003366FF"/>
      <rgbColor rgb="0033CCCC"/>
      <rgbColor rgb="0099CC00"/>
      <rgbColor rgb="00FFD320"/>
      <rgbColor rgb="00FF950E"/>
      <rgbColor rgb="00FF420E"/>
      <rgbColor rgb="00666699"/>
      <rgbColor rgb="00969696"/>
      <rgbColor rgb="00004586"/>
      <rgbColor rgb="00579D1C"/>
      <rgbColor rgb="00003300"/>
      <rgbColor rgb="00314004"/>
      <rgbColor rgb="00993300"/>
      <rgbColor rgb="00993366"/>
      <rgbColor rgb="004B1F6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TOTAL MODIFICACIONES PLAN DE ACCIÓN
2015 Mensual</a:t>
            </a:r>
          </a:p>
        </c:rich>
      </c:tx>
      <c:layout>
        <c:manualLayout>
          <c:xMode val="edge"/>
          <c:yMode val="edge"/>
          <c:x val="0.10224432472256757"/>
          <c:y val="1.8518456469537051E-2"/>
        </c:manualLayout>
      </c:layout>
      <c:overlay val="0"/>
      <c:spPr>
        <a:noFill/>
        <a:ln w="25400">
          <a:noFill/>
        </a:ln>
      </c:spPr>
    </c:title>
    <c:autoTitleDeleted val="0"/>
    <c:plotArea>
      <c:layout>
        <c:manualLayout>
          <c:layoutTarget val="inner"/>
          <c:xMode val="edge"/>
          <c:yMode val="edge"/>
          <c:x val="0.15710723192019951"/>
          <c:y val="0.26984196697763457"/>
          <c:w val="0.80299251870324184"/>
          <c:h val="0.63492227524149314"/>
        </c:manualLayout>
      </c:layout>
      <c:barChart>
        <c:barDir val="col"/>
        <c:grouping val="clustered"/>
        <c:varyColors val="0"/>
        <c:ser>
          <c:idx val="0"/>
          <c:order val="0"/>
          <c:spPr>
            <a:solidFill>
              <a:srgbClr val="004586"/>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2015'!$D$30</c:f>
              <c:numCache>
                <c:formatCode>General</c:formatCode>
                <c:ptCount val="1"/>
                <c:pt idx="0">
                  <c:v>14</c:v>
                </c:pt>
              </c:numCache>
            </c:numRef>
          </c:val>
          <c:extLst>
            <c:ext xmlns:c16="http://schemas.microsoft.com/office/drawing/2014/chart" uri="{C3380CC4-5D6E-409C-BE32-E72D297353CC}">
              <c16:uniqueId val="{00000000-1D10-494C-9045-CA3E8A7F7D8B}"/>
            </c:ext>
          </c:extLst>
        </c:ser>
        <c:ser>
          <c:idx val="1"/>
          <c:order val="1"/>
          <c:spPr>
            <a:solidFill>
              <a:srgbClr val="FF420E"/>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2015'!$E$30</c:f>
              <c:numCache>
                <c:formatCode>General</c:formatCode>
                <c:ptCount val="1"/>
                <c:pt idx="0">
                  <c:v>12</c:v>
                </c:pt>
              </c:numCache>
            </c:numRef>
          </c:val>
          <c:extLst>
            <c:ext xmlns:c16="http://schemas.microsoft.com/office/drawing/2014/chart" uri="{C3380CC4-5D6E-409C-BE32-E72D297353CC}">
              <c16:uniqueId val="{00000001-1D10-494C-9045-CA3E8A7F7D8B}"/>
            </c:ext>
          </c:extLst>
        </c:ser>
        <c:ser>
          <c:idx val="2"/>
          <c:order val="2"/>
          <c:spPr>
            <a:solidFill>
              <a:srgbClr val="FFD320"/>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2015'!$F$30</c:f>
              <c:numCache>
                <c:formatCode>General</c:formatCode>
                <c:ptCount val="1"/>
                <c:pt idx="0">
                  <c:v>15</c:v>
                </c:pt>
              </c:numCache>
            </c:numRef>
          </c:val>
          <c:extLst>
            <c:ext xmlns:c16="http://schemas.microsoft.com/office/drawing/2014/chart" uri="{C3380CC4-5D6E-409C-BE32-E72D297353CC}">
              <c16:uniqueId val="{00000002-1D10-494C-9045-CA3E8A7F7D8B}"/>
            </c:ext>
          </c:extLst>
        </c:ser>
        <c:ser>
          <c:idx val="3"/>
          <c:order val="3"/>
          <c:spPr>
            <a:solidFill>
              <a:srgbClr val="579D1C"/>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2015'!$G$30</c:f>
              <c:numCache>
                <c:formatCode>General</c:formatCode>
                <c:ptCount val="1"/>
                <c:pt idx="0">
                  <c:v>24</c:v>
                </c:pt>
              </c:numCache>
            </c:numRef>
          </c:val>
          <c:extLst>
            <c:ext xmlns:c16="http://schemas.microsoft.com/office/drawing/2014/chart" uri="{C3380CC4-5D6E-409C-BE32-E72D297353CC}">
              <c16:uniqueId val="{00000003-1D10-494C-9045-CA3E8A7F7D8B}"/>
            </c:ext>
          </c:extLst>
        </c:ser>
        <c:ser>
          <c:idx val="4"/>
          <c:order val="4"/>
          <c:spPr>
            <a:solidFill>
              <a:srgbClr val="7E0021"/>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2015'!$H$30</c:f>
              <c:numCache>
                <c:formatCode>General</c:formatCode>
                <c:ptCount val="1"/>
                <c:pt idx="0">
                  <c:v>20</c:v>
                </c:pt>
              </c:numCache>
            </c:numRef>
          </c:val>
          <c:extLst>
            <c:ext xmlns:c16="http://schemas.microsoft.com/office/drawing/2014/chart" uri="{C3380CC4-5D6E-409C-BE32-E72D297353CC}">
              <c16:uniqueId val="{00000004-1D10-494C-9045-CA3E8A7F7D8B}"/>
            </c:ext>
          </c:extLst>
        </c:ser>
        <c:ser>
          <c:idx val="5"/>
          <c:order val="5"/>
          <c:spPr>
            <a:solidFill>
              <a:srgbClr val="83CAFF"/>
            </a:solidFill>
            <a:ln w="25400">
              <a:noFill/>
            </a:ln>
          </c:spPr>
          <c:invertIfNegative val="0"/>
          <c:dLbls>
            <c:dLbl>
              <c:idx val="0"/>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6="http://schemas.microsoft.com/office/drawing/2014/chart" uri="{C3380CC4-5D6E-409C-BE32-E72D297353CC}">
                  <c16:uniqueId val="{00000005-1D10-494C-9045-CA3E8A7F7D8B}"/>
                </c:ext>
              </c:extLst>
            </c:dLbl>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2015'!$I$30</c:f>
              <c:numCache>
                <c:formatCode>General</c:formatCode>
                <c:ptCount val="1"/>
                <c:pt idx="0">
                  <c:v>9</c:v>
                </c:pt>
              </c:numCache>
            </c:numRef>
          </c:val>
          <c:extLst>
            <c:ext xmlns:c16="http://schemas.microsoft.com/office/drawing/2014/chart" uri="{C3380CC4-5D6E-409C-BE32-E72D297353CC}">
              <c16:uniqueId val="{00000006-1D10-494C-9045-CA3E8A7F7D8B}"/>
            </c:ext>
          </c:extLst>
        </c:ser>
        <c:ser>
          <c:idx val="6"/>
          <c:order val="6"/>
          <c:spPr>
            <a:solidFill>
              <a:srgbClr val="314004"/>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2015'!$J$30</c:f>
              <c:numCache>
                <c:formatCode>General</c:formatCode>
                <c:ptCount val="1"/>
                <c:pt idx="0">
                  <c:v>12</c:v>
                </c:pt>
              </c:numCache>
            </c:numRef>
          </c:val>
          <c:extLst>
            <c:ext xmlns:c16="http://schemas.microsoft.com/office/drawing/2014/chart" uri="{C3380CC4-5D6E-409C-BE32-E72D297353CC}">
              <c16:uniqueId val="{00000007-1D10-494C-9045-CA3E8A7F7D8B}"/>
            </c:ext>
          </c:extLst>
        </c:ser>
        <c:ser>
          <c:idx val="7"/>
          <c:order val="7"/>
          <c:spPr>
            <a:solidFill>
              <a:srgbClr val="AECF00"/>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2015'!$K$30</c:f>
              <c:numCache>
                <c:formatCode>General</c:formatCode>
                <c:ptCount val="1"/>
                <c:pt idx="0">
                  <c:v>25</c:v>
                </c:pt>
              </c:numCache>
            </c:numRef>
          </c:val>
          <c:extLst>
            <c:ext xmlns:c16="http://schemas.microsoft.com/office/drawing/2014/chart" uri="{C3380CC4-5D6E-409C-BE32-E72D297353CC}">
              <c16:uniqueId val="{00000008-1D10-494C-9045-CA3E8A7F7D8B}"/>
            </c:ext>
          </c:extLst>
        </c:ser>
        <c:ser>
          <c:idx val="8"/>
          <c:order val="8"/>
          <c:spPr>
            <a:solidFill>
              <a:srgbClr val="4B1F6F"/>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2015'!$L$30</c:f>
              <c:numCache>
                <c:formatCode>General</c:formatCode>
                <c:ptCount val="1"/>
                <c:pt idx="0">
                  <c:v>22</c:v>
                </c:pt>
              </c:numCache>
            </c:numRef>
          </c:val>
          <c:extLst>
            <c:ext xmlns:c16="http://schemas.microsoft.com/office/drawing/2014/chart" uri="{C3380CC4-5D6E-409C-BE32-E72D297353CC}">
              <c16:uniqueId val="{00000009-1D10-494C-9045-CA3E8A7F7D8B}"/>
            </c:ext>
          </c:extLst>
        </c:ser>
        <c:ser>
          <c:idx val="9"/>
          <c:order val="9"/>
          <c:spPr>
            <a:solidFill>
              <a:srgbClr val="FF950E"/>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2015'!$M$30</c:f>
              <c:numCache>
                <c:formatCode>General</c:formatCode>
                <c:ptCount val="1"/>
                <c:pt idx="0">
                  <c:v>19</c:v>
                </c:pt>
              </c:numCache>
            </c:numRef>
          </c:val>
          <c:extLst>
            <c:ext xmlns:c16="http://schemas.microsoft.com/office/drawing/2014/chart" uri="{C3380CC4-5D6E-409C-BE32-E72D297353CC}">
              <c16:uniqueId val="{0000000A-1D10-494C-9045-CA3E8A7F7D8B}"/>
            </c:ext>
          </c:extLst>
        </c:ser>
        <c:ser>
          <c:idx val="10"/>
          <c:order val="10"/>
          <c:spPr>
            <a:solidFill>
              <a:srgbClr val="C5000B"/>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'DEI01-Plan Acción 2015'!$D$30:$N$30</c:f>
              <c:numCache>
                <c:formatCode>General</c:formatCode>
                <c:ptCount val="11"/>
                <c:pt idx="0">
                  <c:v>14</c:v>
                </c:pt>
                <c:pt idx="1">
                  <c:v>12</c:v>
                </c:pt>
                <c:pt idx="2">
                  <c:v>15</c:v>
                </c:pt>
                <c:pt idx="3">
                  <c:v>24</c:v>
                </c:pt>
                <c:pt idx="4">
                  <c:v>20</c:v>
                </c:pt>
                <c:pt idx="5">
                  <c:v>9</c:v>
                </c:pt>
                <c:pt idx="6">
                  <c:v>12</c:v>
                </c:pt>
                <c:pt idx="7">
                  <c:v>25</c:v>
                </c:pt>
                <c:pt idx="8">
                  <c:v>22</c:v>
                </c:pt>
                <c:pt idx="9">
                  <c:v>19</c:v>
                </c:pt>
                <c:pt idx="10">
                  <c:v>11</c:v>
                </c:pt>
              </c:numCache>
            </c:numRef>
          </c:cat>
          <c:val>
            <c:numRef>
              <c:f>'DEI01-Plan Acción 2015'!$N$30</c:f>
              <c:numCache>
                <c:formatCode>General</c:formatCode>
                <c:ptCount val="1"/>
                <c:pt idx="0">
                  <c:v>11</c:v>
                </c:pt>
              </c:numCache>
            </c:numRef>
          </c:val>
          <c:extLst>
            <c:ext xmlns:c16="http://schemas.microsoft.com/office/drawing/2014/chart" uri="{C3380CC4-5D6E-409C-BE32-E72D297353CC}">
              <c16:uniqueId val="{0000000B-1D10-494C-9045-CA3E8A7F7D8B}"/>
            </c:ext>
          </c:extLst>
        </c:ser>
        <c:dLbls>
          <c:showLegendKey val="0"/>
          <c:showVal val="0"/>
          <c:showCatName val="0"/>
          <c:showSerName val="0"/>
          <c:showPercent val="0"/>
          <c:showBubbleSize val="0"/>
        </c:dLbls>
        <c:gapWidth val="150"/>
        <c:axId val="265129472"/>
        <c:axId val="1"/>
      </c:barChart>
      <c:catAx>
        <c:axId val="265129472"/>
        <c:scaling>
          <c:orientation val="minMax"/>
        </c:scaling>
        <c:delete val="1"/>
        <c:axPos val="b"/>
        <c:title>
          <c:tx>
            <c:rich>
              <a:bodyPr/>
              <a:lstStyle/>
              <a:p>
                <a:pPr>
                  <a:defRPr sz="900" b="0" i="0" u="none" strike="noStrike" baseline="0">
                    <a:solidFill>
                      <a:srgbClr val="000000"/>
                    </a:solidFill>
                    <a:latin typeface="Calibri"/>
                    <a:ea typeface="Calibri"/>
                    <a:cs typeface="Calibri"/>
                  </a:defRPr>
                </a:pPr>
                <a:r>
                  <a:rPr lang="es-CO"/>
                  <a:t>Ene Feb Mar Abr May Jun Jul Ago Sep OCt Nov Dic</a:t>
                </a:r>
              </a:p>
            </c:rich>
          </c:tx>
          <c:layout>
            <c:manualLayout>
              <c:xMode val="edge"/>
              <c:yMode val="edge"/>
              <c:x val="0.22693268604582323"/>
              <c:y val="0.93121935555927848"/>
            </c:manualLayout>
          </c:layout>
          <c:overlay val="0"/>
          <c:spPr>
            <a:noFill/>
            <a:ln w="25400">
              <a:noFill/>
            </a:ln>
          </c:spPr>
        </c:title>
        <c:numFmt formatCode="General" sourceLinked="1"/>
        <c:majorTickMark val="out"/>
        <c:minorTickMark val="none"/>
        <c:tickLblPos val="nextTo"/>
        <c:crossAx val="1"/>
        <c:crossesAt val="0"/>
        <c:auto val="1"/>
        <c:lblAlgn val="ctr"/>
        <c:lblOffset val="100"/>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Número</a:t>
                </a:r>
              </a:p>
            </c:rich>
          </c:tx>
          <c:layout>
            <c:manualLayout>
              <c:xMode val="edge"/>
              <c:yMode val="edge"/>
              <c:x val="3.740637683447464E-2"/>
              <c:y val="0.52645641369296925"/>
            </c:manualLayout>
          </c:layout>
          <c:overlay val="0"/>
          <c:spPr>
            <a:noFill/>
            <a:ln w="25400">
              <a:noFill/>
            </a:ln>
          </c:spPr>
        </c:title>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65129472"/>
        <c:crossesAt val="1"/>
        <c:crossBetween val="between"/>
      </c:valAx>
      <c:spPr>
        <a:noFill/>
        <a:ln w="12700">
          <a:solidFill>
            <a:srgbClr val="C0C0C0"/>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Metas PDD 2015'!$F$51:$Q$51</c:f>
              <c:numCache>
                <c:formatCode>General</c:formatCode>
                <c:ptCount val="12"/>
              </c:numCache>
            </c:numRef>
          </c:val>
          <c:extLst>
            <c:ext xmlns:c16="http://schemas.microsoft.com/office/drawing/2014/chart" uri="{C3380CC4-5D6E-409C-BE32-E72D297353CC}">
              <c16:uniqueId val="{00000000-795D-459C-9665-0AD0E31F297E}"/>
            </c:ext>
          </c:extLst>
        </c:ser>
        <c:dLbls>
          <c:showLegendKey val="0"/>
          <c:showVal val="0"/>
          <c:showCatName val="0"/>
          <c:showSerName val="0"/>
          <c:showPercent val="0"/>
          <c:showBubbleSize val="0"/>
        </c:dLbls>
        <c:gapWidth val="150"/>
        <c:shape val="box"/>
        <c:axId val="279924136"/>
        <c:axId val="1"/>
        <c:axId val="0"/>
      </c:bar3DChart>
      <c:catAx>
        <c:axId val="279924136"/>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6447760783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92413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Metas PDD 2016'!$F$51:$Q$51</c:f>
              <c:numCache>
                <c:formatCode>General</c:formatCode>
                <c:ptCount val="12"/>
              </c:numCache>
            </c:numRef>
          </c:val>
          <c:extLst>
            <c:ext xmlns:c16="http://schemas.microsoft.com/office/drawing/2014/chart" uri="{C3380CC4-5D6E-409C-BE32-E72D297353CC}">
              <c16:uniqueId val="{00000000-20F9-48E5-8DCA-50DF34B5A9DA}"/>
            </c:ext>
          </c:extLst>
        </c:ser>
        <c:dLbls>
          <c:showLegendKey val="0"/>
          <c:showVal val="0"/>
          <c:showCatName val="0"/>
          <c:showSerName val="0"/>
          <c:showPercent val="0"/>
          <c:showBubbleSize val="0"/>
        </c:dLbls>
        <c:gapWidth val="150"/>
        <c:shape val="box"/>
        <c:axId val="279926760"/>
        <c:axId val="1"/>
        <c:axId val="0"/>
      </c:bar3DChart>
      <c:catAx>
        <c:axId val="279926760"/>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6447760783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926760"/>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0000000000000007E-2"/>
          <c:y val="0.25964010282776351"/>
          <c:w val="0.89800000000000002"/>
          <c:h val="0.45244215938303339"/>
        </c:manualLayout>
      </c:layout>
      <c:bar3DChart>
        <c:barDir val="col"/>
        <c:grouping val="clustered"/>
        <c:varyColors val="0"/>
        <c:ser>
          <c:idx val="0"/>
          <c:order val="0"/>
          <c:spPr>
            <a:solidFill>
              <a:srgbClr val="004586"/>
            </a:solidFill>
            <a:ln w="25400">
              <a:noFill/>
            </a:ln>
          </c:spPr>
          <c:invertIfNegative val="0"/>
          <c:val>
            <c:numRef>
              <c:f>'Avance Acumulado Metas PDD'!$F$51:$L$51</c:f>
              <c:numCache>
                <c:formatCode>General</c:formatCode>
                <c:ptCount val="7"/>
              </c:numCache>
            </c:numRef>
          </c:val>
          <c:extLst>
            <c:ext xmlns:c16="http://schemas.microsoft.com/office/drawing/2014/chart" uri="{C3380CC4-5D6E-409C-BE32-E72D297353CC}">
              <c16:uniqueId val="{00000000-7B75-43F1-8877-62D9929DD7D9}"/>
            </c:ext>
          </c:extLst>
        </c:ser>
        <c:dLbls>
          <c:showLegendKey val="0"/>
          <c:showVal val="0"/>
          <c:showCatName val="0"/>
          <c:showSerName val="0"/>
          <c:showPercent val="0"/>
          <c:showBubbleSize val="0"/>
        </c:dLbls>
        <c:gapWidth val="150"/>
        <c:shape val="box"/>
        <c:axId val="265112768"/>
        <c:axId val="1"/>
        <c:axId val="0"/>
      </c:bar3DChart>
      <c:catAx>
        <c:axId val="265112768"/>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2800000000000001"/>
              <c:y val="0.77892017424523508"/>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6511276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0000000000000007E-2"/>
          <c:y val="0.25964010282776351"/>
          <c:w val="0.89800000000000002"/>
          <c:h val="0.45244215938303339"/>
        </c:manualLayout>
      </c:layout>
      <c:bar3DChart>
        <c:barDir val="col"/>
        <c:grouping val="clustered"/>
        <c:varyColors val="0"/>
        <c:ser>
          <c:idx val="0"/>
          <c:order val="0"/>
          <c:spPr>
            <a:solidFill>
              <a:srgbClr val="004586"/>
            </a:solidFill>
            <a:ln w="25400">
              <a:noFill/>
            </a:ln>
          </c:spPr>
          <c:invertIfNegative val="0"/>
          <c:val>
            <c:numRef>
              <c:f>'Seguim Avance % Metas PDD'!$F$51:$L$51</c:f>
              <c:numCache>
                <c:formatCode>General</c:formatCode>
                <c:ptCount val="7"/>
              </c:numCache>
            </c:numRef>
          </c:val>
          <c:extLst>
            <c:ext xmlns:c16="http://schemas.microsoft.com/office/drawing/2014/chart" uri="{C3380CC4-5D6E-409C-BE32-E72D297353CC}">
              <c16:uniqueId val="{00000000-BAA5-4639-BAC9-B66CFABB819F}"/>
            </c:ext>
          </c:extLst>
        </c:ser>
        <c:dLbls>
          <c:showLegendKey val="0"/>
          <c:showVal val="0"/>
          <c:showCatName val="0"/>
          <c:showSerName val="0"/>
          <c:showPercent val="0"/>
          <c:showBubbleSize val="0"/>
        </c:dLbls>
        <c:gapWidth val="150"/>
        <c:shape val="box"/>
        <c:axId val="279841640"/>
        <c:axId val="1"/>
        <c:axId val="0"/>
      </c:bar3DChart>
      <c:catAx>
        <c:axId val="279841640"/>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2800000000000001"/>
              <c:y val="0.7789203895205004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41640"/>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452264"/>
        <c:axId val="1"/>
      </c:barChart>
      <c:catAx>
        <c:axId val="27945226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452264"/>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Avance Acumulado de Metas PDD</a:t>
            </a:r>
          </a:p>
        </c:rich>
      </c:tx>
      <c:layout>
        <c:manualLayout>
          <c:xMode val="edge"/>
          <c:yMode val="edge"/>
          <c:x val="0.31231689743028096"/>
          <c:y val="3.099173952949133E-2"/>
        </c:manualLayout>
      </c:layout>
      <c:overlay val="0"/>
      <c:spPr>
        <a:noFill/>
        <a:ln w="25400">
          <a:noFill/>
        </a:ln>
      </c:spPr>
    </c:title>
    <c:autoTitleDeleted val="0"/>
    <c:plotArea>
      <c:layout>
        <c:manualLayout>
          <c:layoutTarget val="inner"/>
          <c:xMode val="edge"/>
          <c:yMode val="edge"/>
          <c:x val="0.14809394767081802"/>
          <c:y val="0.15495883401548177"/>
          <c:w val="0.83137889435003776"/>
          <c:h val="0.67148828073375433"/>
        </c:manualLayout>
      </c:layout>
      <c:barChart>
        <c:barDir val="col"/>
        <c:grouping val="clustered"/>
        <c:varyColors val="0"/>
        <c:ser>
          <c:idx val="0"/>
          <c:order val="0"/>
          <c:spPr>
            <a:solidFill>
              <a:srgbClr val="004586"/>
            </a:solidFill>
            <a:ln w="25400">
              <a:noFill/>
            </a:ln>
          </c:spPr>
          <c:invertIfNegative val="0"/>
          <c:cat>
            <c:numRef>
              <c:f>'DEI03-Ava Acum PDD BH por proy'!$S$20:$S$40</c:f>
              <c:numCache>
                <c:formatCode>General</c:formatCode>
                <c:ptCount val="21"/>
                <c:pt idx="0" formatCode="#,##0">
                  <c:v>92000</c:v>
                </c:pt>
                <c:pt idx="1">
                  <c:v>80</c:v>
                </c:pt>
                <c:pt idx="2" formatCode="#,##0">
                  <c:v>65216</c:v>
                </c:pt>
                <c:pt idx="3">
                  <c:v>150</c:v>
                </c:pt>
                <c:pt idx="4">
                  <c:v>6</c:v>
                </c:pt>
                <c:pt idx="5">
                  <c:v>111</c:v>
                </c:pt>
                <c:pt idx="6">
                  <c:v>5</c:v>
                </c:pt>
                <c:pt idx="7" formatCode="0%">
                  <c:v>1</c:v>
                </c:pt>
                <c:pt idx="8">
                  <c:v>49</c:v>
                </c:pt>
                <c:pt idx="9" formatCode="#,##0">
                  <c:v>300000</c:v>
                </c:pt>
                <c:pt idx="10" formatCode="#,##0">
                  <c:v>280000</c:v>
                </c:pt>
                <c:pt idx="11" formatCode="#,##0">
                  <c:v>1140000</c:v>
                </c:pt>
                <c:pt idx="12" formatCode="#,##0">
                  <c:v>2486</c:v>
                </c:pt>
                <c:pt idx="13">
                  <c:v>20</c:v>
                </c:pt>
                <c:pt idx="14">
                  <c:v>50</c:v>
                </c:pt>
                <c:pt idx="15">
                  <c:v>7</c:v>
                </c:pt>
                <c:pt idx="16" formatCode="#,##0">
                  <c:v>303000</c:v>
                </c:pt>
                <c:pt idx="17" formatCode="#,##0">
                  <c:v>6</c:v>
                </c:pt>
                <c:pt idx="18" formatCode="#,##0">
                  <c:v>6</c:v>
                </c:pt>
                <c:pt idx="19">
                  <c:v>1</c:v>
                </c:pt>
                <c:pt idx="20">
                  <c:v>100</c:v>
                </c:pt>
              </c:numCache>
            </c:numRef>
          </c:cat>
          <c:val>
            <c:numRef>
              <c:f>'DEI03-Ava Acum PDD BH por proy'!$T$20:$T$40</c:f>
              <c:numCache>
                <c:formatCode>0.00%</c:formatCode>
                <c:ptCount val="21"/>
                <c:pt idx="0">
                  <c:v>0.46614130434782608</c:v>
                </c:pt>
                <c:pt idx="1">
                  <c:v>1.0625</c:v>
                </c:pt>
                <c:pt idx="2">
                  <c:v>0.75035267419038276</c:v>
                </c:pt>
                <c:pt idx="3">
                  <c:v>1.0666666666666667</c:v>
                </c:pt>
                <c:pt idx="4">
                  <c:v>0.33333333333333331</c:v>
                </c:pt>
                <c:pt idx="5">
                  <c:v>1</c:v>
                </c:pt>
                <c:pt idx="6">
                  <c:v>0.8</c:v>
                </c:pt>
                <c:pt idx="7">
                  <c:v>0.34</c:v>
                </c:pt>
                <c:pt idx="8">
                  <c:v>0.83286573146292586</c:v>
                </c:pt>
                <c:pt idx="9">
                  <c:v>1.3059476190476191</c:v>
                </c:pt>
                <c:pt idx="10">
                  <c:v>1.6282321428571429</c:v>
                </c:pt>
                <c:pt idx="11">
                  <c:v>1.2712313596491227</c:v>
                </c:pt>
                <c:pt idx="12">
                  <c:v>1.0414320193081255</c:v>
                </c:pt>
                <c:pt idx="13">
                  <c:v>1.0437533333333333</c:v>
                </c:pt>
                <c:pt idx="14">
                  <c:v>1</c:v>
                </c:pt>
                <c:pt idx="15">
                  <c:v>0.7142857142857143</c:v>
                </c:pt>
                <c:pt idx="16">
                  <c:v>1.0347491749174917</c:v>
                </c:pt>
                <c:pt idx="17">
                  <c:v>0.83333333333333337</c:v>
                </c:pt>
                <c:pt idx="18">
                  <c:v>1</c:v>
                </c:pt>
                <c:pt idx="19">
                  <c:v>1</c:v>
                </c:pt>
                <c:pt idx="20">
                  <c:v>0.81</c:v>
                </c:pt>
              </c:numCache>
            </c:numRef>
          </c:val>
          <c:extLst>
            <c:ext xmlns:c16="http://schemas.microsoft.com/office/drawing/2014/chart" uri="{C3380CC4-5D6E-409C-BE32-E72D297353CC}">
              <c16:uniqueId val="{00000000-773C-4DF2-9503-247BBBAEAD87}"/>
            </c:ext>
          </c:extLst>
        </c:ser>
        <c:dLbls>
          <c:showLegendKey val="0"/>
          <c:showVal val="0"/>
          <c:showCatName val="0"/>
          <c:showSerName val="0"/>
          <c:showPercent val="0"/>
          <c:showBubbleSize val="0"/>
        </c:dLbls>
        <c:gapWidth val="100"/>
        <c:axId val="279506872"/>
        <c:axId val="1"/>
      </c:barChart>
      <c:catAx>
        <c:axId val="279506872"/>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Proyecto      914           915             772         792          783                              795                                    787      944     784</a:t>
                </a:r>
              </a:p>
            </c:rich>
          </c:tx>
          <c:layout>
            <c:manualLayout>
              <c:xMode val="edge"/>
              <c:yMode val="edge"/>
              <c:x val="0.25953094077003186"/>
              <c:y val="0.89049675539023876"/>
            </c:manualLayout>
          </c:layout>
          <c:overlay val="0"/>
          <c:spPr>
            <a:noFill/>
            <a:ln w="25400">
              <a:noFill/>
            </a:ln>
          </c:spPr>
        </c:title>
        <c:numFmt formatCode="#,##0"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3"/>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Porcentaje</a:t>
                </a:r>
              </a:p>
            </c:rich>
          </c:tx>
          <c:layout>
            <c:manualLayout>
              <c:xMode val="edge"/>
              <c:yMode val="edge"/>
              <c:x val="2.3460493499805935E-2"/>
              <c:y val="0.42562023305369034"/>
            </c:manualLayout>
          </c:layout>
          <c:overlay val="0"/>
          <c:spPr>
            <a:noFill/>
            <a:ln w="25400">
              <a:noFill/>
            </a:ln>
          </c:spPr>
        </c:title>
        <c:numFmt formatCode="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506872"/>
        <c:crosses val="autoZero"/>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CONSUM O DE AGUA DE LA ENTIDAD
sub-title</a:t>
            </a:r>
          </a:p>
        </c:rich>
      </c:tx>
      <c:layout>
        <c:manualLayout>
          <c:xMode val="edge"/>
          <c:yMode val="edge"/>
          <c:x val="0.18444491105278507"/>
          <c:y val="2.3460386035816322E-2"/>
        </c:manualLayout>
      </c:layout>
      <c:overlay val="0"/>
      <c:spPr>
        <a:noFill/>
        <a:ln w="25400">
          <a:noFill/>
        </a:ln>
      </c:spPr>
    </c:title>
    <c:autoTitleDeleted val="0"/>
    <c:plotArea>
      <c:layout>
        <c:manualLayout>
          <c:layoutTarget val="inner"/>
          <c:xMode val="edge"/>
          <c:yMode val="edge"/>
          <c:x val="0.16888925540202995"/>
          <c:y val="0.29618768328445749"/>
          <c:w val="0.79333505498058809"/>
          <c:h val="0.51906158357771259"/>
        </c:manualLayout>
      </c:layout>
      <c:barChart>
        <c:barDir val="col"/>
        <c:grouping val="clustered"/>
        <c:varyColors val="0"/>
        <c:ser>
          <c:idx val="0"/>
          <c:order val="0"/>
          <c:spPr>
            <a:solidFill>
              <a:srgbClr val="004586"/>
            </a:solidFill>
            <a:ln w="25400">
              <a:noFill/>
            </a:ln>
          </c:spPr>
          <c:invertIfNegative val="0"/>
          <c:val>
            <c:numRef>
              <c:f>'PIGA - Seguimiento'!$D$18:$O$18</c:f>
              <c:numCache>
                <c:formatCode>General</c:formatCode>
                <c:ptCount val="12"/>
                <c:pt idx="0">
                  <c:v>1241</c:v>
                </c:pt>
                <c:pt idx="1">
                  <c:v>0</c:v>
                </c:pt>
                <c:pt idx="2">
                  <c:v>1297</c:v>
                </c:pt>
                <c:pt idx="3">
                  <c:v>0</c:v>
                </c:pt>
                <c:pt idx="4">
                  <c:v>1244</c:v>
                </c:pt>
                <c:pt idx="5">
                  <c:v>0</c:v>
                </c:pt>
                <c:pt idx="6">
                  <c:v>1581</c:v>
                </c:pt>
                <c:pt idx="7">
                  <c:v>0</c:v>
                </c:pt>
                <c:pt idx="8">
                  <c:v>1464</c:v>
                </c:pt>
                <c:pt idx="9">
                  <c:v>0</c:v>
                </c:pt>
                <c:pt idx="10">
                  <c:v>1388</c:v>
                </c:pt>
                <c:pt idx="11">
                  <c:v>0</c:v>
                </c:pt>
              </c:numCache>
            </c:numRef>
          </c:val>
          <c:extLst>
            <c:ext xmlns:c16="http://schemas.microsoft.com/office/drawing/2014/chart" uri="{C3380CC4-5D6E-409C-BE32-E72D297353CC}">
              <c16:uniqueId val="{00000000-69A2-4119-8998-B745ED61BD0D}"/>
            </c:ext>
          </c:extLst>
        </c:ser>
        <c:dLbls>
          <c:showLegendKey val="0"/>
          <c:showVal val="0"/>
          <c:showCatName val="0"/>
          <c:showSerName val="0"/>
          <c:showPercent val="0"/>
          <c:showBubbleSize val="0"/>
        </c:dLbls>
        <c:gapWidth val="150"/>
        <c:axId val="279677224"/>
        <c:axId val="1"/>
      </c:barChart>
      <c:catAx>
        <c:axId val="279677224"/>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Nov- Dic Ene- Feb Mar-Abr May-Jun Jul-Ago Sep-Oct</a:t>
                </a:r>
              </a:p>
            </c:rich>
          </c:tx>
          <c:layout>
            <c:manualLayout>
              <c:xMode val="edge"/>
              <c:yMode val="edge"/>
              <c:x val="0.2577782443861184"/>
              <c:y val="0.90615845585673471"/>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Metros cúbicos</a:t>
                </a:r>
              </a:p>
            </c:rich>
          </c:tx>
          <c:layout>
            <c:manualLayout>
              <c:xMode val="edge"/>
              <c:yMode val="edge"/>
              <c:x val="3.111111111111111E-2"/>
              <c:y val="0.42815258712130011"/>
            </c:manualLayout>
          </c:layout>
          <c:overlay val="0"/>
          <c:spPr>
            <a:noFill/>
            <a:ln w="25400">
              <a:noFill/>
            </a:ln>
          </c:spPr>
        </c:title>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677224"/>
        <c:crosses val="autoZero"/>
        <c:crossBetween val="between"/>
      </c:valAx>
      <c:spPr>
        <a:noFill/>
        <a:ln w="12700">
          <a:solidFill>
            <a:srgbClr val="C0C0C0"/>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CONSUMO DE ENERGÍA ENTIDAD
sub-title</a:t>
            </a:r>
          </a:p>
        </c:rich>
      </c:tx>
      <c:layout>
        <c:manualLayout>
          <c:xMode val="edge"/>
          <c:yMode val="edge"/>
          <c:x val="0.20649651972157773"/>
          <c:y val="2.3529484849896722E-2"/>
        </c:manualLayout>
      </c:layout>
      <c:overlay val="0"/>
      <c:spPr>
        <a:noFill/>
        <a:ln w="25400">
          <a:noFill/>
        </a:ln>
      </c:spPr>
    </c:title>
    <c:autoTitleDeleted val="0"/>
    <c:view3D>
      <c:rotX val="18"/>
      <c:hPercent val="54"/>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0.23433874709976799"/>
          <c:y val="0.30882397292045743"/>
          <c:w val="0.72389791183294661"/>
          <c:h val="0.40000057444935438"/>
        </c:manualLayout>
      </c:layout>
      <c:bar3DChart>
        <c:barDir val="col"/>
        <c:grouping val="clustered"/>
        <c:varyColors val="0"/>
        <c:ser>
          <c:idx val="0"/>
          <c:order val="0"/>
          <c:spPr>
            <a:solidFill>
              <a:srgbClr val="004586"/>
            </a:solidFill>
            <a:ln w="25400">
              <a:noFill/>
            </a:ln>
          </c:spPr>
          <c:invertIfNegative val="0"/>
          <c:val>
            <c:numRef>
              <c:f>'PIGA - Seguimiento'!$D$32:$O$32</c:f>
              <c:numCache>
                <c:formatCode>#,##0</c:formatCode>
                <c:ptCount val="12"/>
                <c:pt idx="0">
                  <c:v>48640</c:v>
                </c:pt>
                <c:pt idx="1">
                  <c:v>49333</c:v>
                </c:pt>
                <c:pt idx="2">
                  <c:v>50285</c:v>
                </c:pt>
                <c:pt idx="3">
                  <c:v>51410</c:v>
                </c:pt>
                <c:pt idx="4">
                  <c:v>50309</c:v>
                </c:pt>
                <c:pt idx="5">
                  <c:v>51487</c:v>
                </c:pt>
                <c:pt idx="6">
                  <c:v>49557</c:v>
                </c:pt>
                <c:pt idx="7">
                  <c:v>52205</c:v>
                </c:pt>
                <c:pt idx="8">
                  <c:v>51095</c:v>
                </c:pt>
                <c:pt idx="9">
                  <c:v>53477</c:v>
                </c:pt>
                <c:pt idx="10">
                  <c:v>56314</c:v>
                </c:pt>
                <c:pt idx="11">
                  <c:v>51288.4</c:v>
                </c:pt>
              </c:numCache>
            </c:numRef>
          </c:val>
          <c:extLst>
            <c:ext xmlns:c16="http://schemas.microsoft.com/office/drawing/2014/chart" uri="{C3380CC4-5D6E-409C-BE32-E72D297353CC}">
              <c16:uniqueId val="{00000000-C740-4D43-91DD-AA63A94A72D5}"/>
            </c:ext>
          </c:extLst>
        </c:ser>
        <c:dLbls>
          <c:showLegendKey val="0"/>
          <c:showVal val="0"/>
          <c:showCatName val="0"/>
          <c:showSerName val="0"/>
          <c:showPercent val="0"/>
          <c:showBubbleSize val="0"/>
        </c:dLbls>
        <c:gapWidth val="150"/>
        <c:shape val="box"/>
        <c:axId val="279679848"/>
        <c:axId val="1"/>
        <c:axId val="0"/>
      </c:bar3DChart>
      <c:catAx>
        <c:axId val="279679848"/>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 Feb Mar Abr May Jun Jul Ago Sep Oct Nov Oct Nov Dic</a:t>
                </a:r>
              </a:p>
            </c:rich>
          </c:tx>
          <c:layout>
            <c:manualLayout>
              <c:xMode val="edge"/>
              <c:yMode val="edge"/>
              <c:x val="0.32112927879374709"/>
              <c:y val="0.7852953144170588"/>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KW</a:t>
                </a:r>
              </a:p>
            </c:rich>
          </c:tx>
          <c:layout>
            <c:manualLayout>
              <c:xMode val="edge"/>
              <c:yMode val="edge"/>
              <c:x val="0.15777262180974477"/>
              <c:y val="0.49117706440541087"/>
            </c:manualLayout>
          </c:layout>
          <c:overlay val="0"/>
          <c:spPr>
            <a:noFill/>
            <a:ln w="25400">
              <a:noFill/>
            </a:ln>
          </c:spPr>
        </c:title>
        <c:numFmt formatCode="#,##0"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67984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AVANCE DEL SISTEMA DE INFORMACIÓN SECTORIAL
2015</a:t>
            </a:r>
          </a:p>
        </c:rich>
      </c:tx>
      <c:layout>
        <c:manualLayout>
          <c:xMode val="edge"/>
          <c:yMode val="edge"/>
          <c:x val="0.15146572587517471"/>
          <c:y val="3.2520325203252036E-2"/>
        </c:manualLayout>
      </c:layout>
      <c:overlay val="0"/>
      <c:spPr>
        <a:noFill/>
        <a:ln w="25400">
          <a:noFill/>
        </a:ln>
      </c:spPr>
    </c:title>
    <c:autoTitleDeleted val="0"/>
    <c:plotArea>
      <c:layout>
        <c:manualLayout>
          <c:layoutTarget val="inner"/>
          <c:xMode val="edge"/>
          <c:yMode val="edge"/>
          <c:x val="0.13517915309446255"/>
          <c:y val="0.24932315306135952"/>
          <c:w val="0.84201954397394141"/>
          <c:h val="0.56639716293287112"/>
        </c:manualLayout>
      </c:layout>
      <c:barChart>
        <c:barDir val="col"/>
        <c:grouping val="clustered"/>
        <c:varyColors val="0"/>
        <c:ser>
          <c:idx val="0"/>
          <c:order val="0"/>
          <c:spPr>
            <a:solidFill>
              <a:srgbClr val="004586"/>
            </a:solidFill>
            <a:ln w="25400">
              <a:noFill/>
            </a:ln>
          </c:spPr>
          <c:invertIfNegative val="0"/>
          <c:val>
            <c:numRef>
              <c:f>'DEI04-SIST INF SECTOR 2015'!$S$20:$V$20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98F-457E-8668-40F23D7EB829}"/>
            </c:ext>
          </c:extLst>
        </c:ser>
        <c:ser>
          <c:idx val="1"/>
          <c:order val="1"/>
          <c:spPr>
            <a:solidFill>
              <a:srgbClr val="FF420E"/>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'DEI04-SIST INF SECTOR 2015'!$S$21:$V$21</c:f>
              <c:numCache>
                <c:formatCode>0.00%</c:formatCode>
                <c:ptCount val="4"/>
                <c:pt idx="0">
                  <c:v>0.5</c:v>
                </c:pt>
                <c:pt idx="1">
                  <c:v>1</c:v>
                </c:pt>
                <c:pt idx="2">
                  <c:v>0.75</c:v>
                </c:pt>
                <c:pt idx="3">
                  <c:v>0.66666666666666663</c:v>
                </c:pt>
              </c:numCache>
            </c:numRef>
          </c:val>
          <c:extLst>
            <c:ext xmlns:c16="http://schemas.microsoft.com/office/drawing/2014/chart" uri="{C3380CC4-5D6E-409C-BE32-E72D297353CC}">
              <c16:uniqueId val="{00000001-398F-457E-8668-40F23D7EB829}"/>
            </c:ext>
          </c:extLst>
        </c:ser>
        <c:dLbls>
          <c:showLegendKey val="0"/>
          <c:showVal val="0"/>
          <c:showCatName val="0"/>
          <c:showSerName val="0"/>
          <c:showPercent val="0"/>
          <c:showBubbleSize val="0"/>
        </c:dLbls>
        <c:gapWidth val="100"/>
        <c:axId val="279674928"/>
        <c:axId val="1"/>
      </c:barChart>
      <c:catAx>
        <c:axId val="27967492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Marzo     Junio     Septiembre Diciembre</a:t>
                </a:r>
              </a:p>
            </c:rich>
          </c:tx>
          <c:layout>
            <c:manualLayout>
              <c:xMode val="edge"/>
              <c:yMode val="edge"/>
              <c:x val="0.37622149504039271"/>
              <c:y val="0.8997312734282199"/>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 AVANCE</a:t>
                </a:r>
              </a:p>
            </c:rich>
          </c:tx>
          <c:layout>
            <c:manualLayout>
              <c:xMode val="edge"/>
              <c:yMode val="edge"/>
              <c:x val="2.6058560861710468E-2"/>
              <c:y val="0.44444558251356792"/>
            </c:manualLayout>
          </c:layout>
          <c:overlay val="0"/>
          <c:spPr>
            <a:noFill/>
            <a:ln w="25400">
              <a:noFill/>
            </a:ln>
          </c:spPr>
        </c:title>
        <c:numFmt formatCode="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674928"/>
        <c:crossesAt val="1"/>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MODIFICACIONES PLAN DE ACCION
por Proyecto 2015</a:t>
            </a:r>
          </a:p>
        </c:rich>
      </c:tx>
      <c:layout>
        <c:manualLayout>
          <c:xMode val="edge"/>
          <c:yMode val="edge"/>
          <c:x val="0.16030585462531469"/>
          <c:y val="1.8919034577199588E-2"/>
        </c:manualLayout>
      </c:layout>
      <c:overlay val="0"/>
      <c:spPr>
        <a:noFill/>
        <a:ln w="25400">
          <a:noFill/>
        </a:ln>
      </c:spPr>
    </c:title>
    <c:autoTitleDeleted val="0"/>
    <c:plotArea>
      <c:layout>
        <c:manualLayout>
          <c:layoutTarget val="inner"/>
          <c:xMode val="edge"/>
          <c:yMode val="edge"/>
          <c:x val="0.17557295536377665"/>
          <c:y val="0.2378381517078649"/>
          <c:w val="0.78117242458955694"/>
          <c:h val="0.60000079180847732"/>
        </c:manualLayout>
      </c:layout>
      <c:barChart>
        <c:barDir val="col"/>
        <c:grouping val="clustered"/>
        <c:varyColors val="0"/>
        <c:ser>
          <c:idx val="0"/>
          <c:order val="0"/>
          <c:spPr>
            <a:solidFill>
              <a:srgbClr val="004586"/>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'DEI01-Plan Acción 2015'!$R$20:$R$29</c:f>
              <c:strCache>
                <c:ptCount val="10"/>
                <c:pt idx="0">
                  <c:v>Proy 772</c:v>
                </c:pt>
                <c:pt idx="1">
                  <c:v>Proy 783</c:v>
                </c:pt>
                <c:pt idx="2">
                  <c:v>Proy 784</c:v>
                </c:pt>
                <c:pt idx="3">
                  <c:v>Proy 787</c:v>
                </c:pt>
                <c:pt idx="4">
                  <c:v>Proy 792</c:v>
                </c:pt>
                <c:pt idx="5">
                  <c:v>Proy 794</c:v>
                </c:pt>
                <c:pt idx="6">
                  <c:v>Proy 795</c:v>
                </c:pt>
                <c:pt idx="7">
                  <c:v>Proy 914</c:v>
                </c:pt>
                <c:pt idx="8">
                  <c:v>Proy 915</c:v>
                </c:pt>
                <c:pt idx="9">
                  <c:v>Proy 944</c:v>
                </c:pt>
              </c:strCache>
            </c:strRef>
          </c:cat>
          <c:val>
            <c:numRef>
              <c:f>'DEI01-Plan Acción 2015'!$S$20:$S$29</c:f>
              <c:numCache>
                <c:formatCode>General</c:formatCode>
                <c:ptCount val="10"/>
                <c:pt idx="0">
                  <c:v>1</c:v>
                </c:pt>
                <c:pt idx="1">
                  <c:v>30</c:v>
                </c:pt>
                <c:pt idx="2">
                  <c:v>0</c:v>
                </c:pt>
                <c:pt idx="3">
                  <c:v>1</c:v>
                </c:pt>
                <c:pt idx="4">
                  <c:v>17</c:v>
                </c:pt>
                <c:pt idx="5">
                  <c:v>4</c:v>
                </c:pt>
                <c:pt idx="6">
                  <c:v>86</c:v>
                </c:pt>
                <c:pt idx="7">
                  <c:v>18</c:v>
                </c:pt>
                <c:pt idx="8">
                  <c:v>25</c:v>
                </c:pt>
                <c:pt idx="9">
                  <c:v>1</c:v>
                </c:pt>
              </c:numCache>
            </c:numRef>
          </c:val>
          <c:extLst>
            <c:ext xmlns:c16="http://schemas.microsoft.com/office/drawing/2014/chart" uri="{C3380CC4-5D6E-409C-BE32-E72D297353CC}">
              <c16:uniqueId val="{00000000-0422-4313-8A1F-5A041A9532D2}"/>
            </c:ext>
          </c:extLst>
        </c:ser>
        <c:dLbls>
          <c:showLegendKey val="0"/>
          <c:showVal val="0"/>
          <c:showCatName val="0"/>
          <c:showSerName val="0"/>
          <c:showPercent val="0"/>
          <c:showBubbleSize val="0"/>
        </c:dLbls>
        <c:gapWidth val="150"/>
        <c:axId val="279037744"/>
        <c:axId val="1"/>
      </c:barChart>
      <c:catAx>
        <c:axId val="279037744"/>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No de Modificaciones</a:t>
                </a:r>
              </a:p>
            </c:rich>
          </c:tx>
          <c:layout>
            <c:manualLayout>
              <c:xMode val="edge"/>
              <c:yMode val="edge"/>
              <c:x val="3.5623493491884942E-2"/>
              <c:y val="0.37297358210658449"/>
            </c:manualLayout>
          </c:layout>
          <c:overlay val="0"/>
          <c:spPr>
            <a:noFill/>
            <a:ln w="25400">
              <a:noFill/>
            </a:ln>
          </c:spPr>
        </c:title>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037744"/>
        <c:crossesAt val="1"/>
        <c:crossBetween val="between"/>
      </c:valAx>
      <c:spPr>
        <a:noFill/>
        <a:ln w="12700">
          <a:solidFill>
            <a:srgbClr val="C0C0C0"/>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929056"/>
        <c:axId val="1"/>
      </c:barChart>
      <c:catAx>
        <c:axId val="27992905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929056"/>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 Metas 2015'!$F$80:$Q$80</c:f>
              <c:numCache>
                <c:formatCode>General</c:formatCode>
                <c:ptCount val="12"/>
              </c:numCache>
            </c:numRef>
          </c:val>
          <c:extLst>
            <c:ext xmlns:c16="http://schemas.microsoft.com/office/drawing/2014/chart" uri="{C3380CC4-5D6E-409C-BE32-E72D297353CC}">
              <c16:uniqueId val="{00000000-F863-431F-A11D-215FF23634FD}"/>
            </c:ext>
          </c:extLst>
        </c:ser>
        <c:dLbls>
          <c:showLegendKey val="0"/>
          <c:showVal val="0"/>
          <c:showCatName val="0"/>
          <c:showSerName val="0"/>
          <c:showPercent val="0"/>
          <c:showBubbleSize val="0"/>
        </c:dLbls>
        <c:gapWidth val="150"/>
        <c:shape val="box"/>
        <c:axId val="279836392"/>
        <c:axId val="1"/>
        <c:axId val="0"/>
      </c:bar3DChart>
      <c:catAx>
        <c:axId val="279836392"/>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71868725289"/>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3639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931352"/>
        <c:axId val="1"/>
      </c:barChart>
      <c:catAx>
        <c:axId val="27993135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931352"/>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 Metas 2016'!$F$80:$Q$80</c:f>
              <c:numCache>
                <c:formatCode>General</c:formatCode>
                <c:ptCount val="12"/>
              </c:numCache>
            </c:numRef>
          </c:val>
          <c:extLst>
            <c:ext xmlns:c16="http://schemas.microsoft.com/office/drawing/2014/chart" uri="{C3380CC4-5D6E-409C-BE32-E72D297353CC}">
              <c16:uniqueId val="{00000000-D863-4A68-8CC2-43C2251A8723}"/>
            </c:ext>
          </c:extLst>
        </c:ser>
        <c:dLbls>
          <c:showLegendKey val="0"/>
          <c:showVal val="0"/>
          <c:showCatName val="0"/>
          <c:showSerName val="0"/>
          <c:showPercent val="0"/>
          <c:showBubbleSize val="0"/>
        </c:dLbls>
        <c:gapWidth val="150"/>
        <c:shape val="box"/>
        <c:axId val="279839016"/>
        <c:axId val="1"/>
        <c:axId val="0"/>
      </c:bar3DChart>
      <c:catAx>
        <c:axId val="279839016"/>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71868725289"/>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3901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534992125984252"/>
          <c:y val="2.0512736169075469E-2"/>
        </c:manualLayout>
      </c:layout>
      <c:overlay val="0"/>
      <c:spPr>
        <a:noFill/>
        <a:ln w="25400">
          <a:noFill/>
        </a:ln>
      </c:spPr>
    </c:title>
    <c:autoTitleDeleted val="0"/>
    <c:plotArea>
      <c:layout>
        <c:manualLayout>
          <c:layoutTarget val="inner"/>
          <c:xMode val="edge"/>
          <c:yMode val="edge"/>
          <c:x val="3.5928213744802866E-2"/>
          <c:y val="0.25897500744943774"/>
          <c:w val="0.92415349799131807"/>
          <c:h val="0.62820670123873512"/>
        </c:manualLayout>
      </c:layout>
      <c:barChart>
        <c:barDir val="col"/>
        <c:grouping val="clustered"/>
        <c:varyColors val="0"/>
        <c:dLbls>
          <c:showLegendKey val="0"/>
          <c:showVal val="0"/>
          <c:showCatName val="0"/>
          <c:showSerName val="0"/>
          <c:showPercent val="0"/>
          <c:showBubbleSize val="0"/>
        </c:dLbls>
        <c:gapWidth val="150"/>
        <c:axId val="279445376"/>
        <c:axId val="1"/>
      </c:barChart>
      <c:catAx>
        <c:axId val="27944537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445376"/>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Avance Final 
Por Proyectos de Inversión </a:t>
            </a:r>
          </a:p>
        </c:rich>
      </c:tx>
      <c:layout>
        <c:manualLayout>
          <c:xMode val="edge"/>
          <c:yMode val="edge"/>
          <c:x val="0.32286272782335773"/>
          <c:y val="3.5502958579881658E-2"/>
        </c:manualLayout>
      </c:layout>
      <c:overlay val="0"/>
      <c:spPr>
        <a:noFill/>
        <a:ln w="25400">
          <a:noFill/>
        </a:ln>
      </c:spPr>
    </c:title>
    <c:autoTitleDeleted val="0"/>
    <c:plotArea>
      <c:layout>
        <c:manualLayout>
          <c:layoutTarget val="inner"/>
          <c:xMode val="edge"/>
          <c:yMode val="edge"/>
          <c:x val="0.17626557091509004"/>
          <c:y val="0.26923076923076922"/>
          <c:w val="0.79930328197139844"/>
          <c:h val="0.52958579881656809"/>
        </c:manualLayout>
      </c:layout>
      <c:barChart>
        <c:barDir val="col"/>
        <c:grouping val="clustered"/>
        <c:varyColors val="0"/>
        <c:ser>
          <c:idx val="0"/>
          <c:order val="0"/>
          <c:spPr>
            <a:solidFill>
              <a:srgbClr val="004586"/>
            </a:solidFill>
            <a:ln w="25400">
              <a:noFill/>
            </a:ln>
          </c:spPr>
          <c:invertIfNegative val="0"/>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'DEI02-Avance Plan Plurianual BH'!$N$20:$N$29</c:f>
              <c:numCache>
                <c:formatCode>General</c:formatCode>
                <c:ptCount val="10"/>
                <c:pt idx="0">
                  <c:v>2012</c:v>
                </c:pt>
                <c:pt idx="1">
                  <c:v>2013</c:v>
                </c:pt>
                <c:pt idx="2">
                  <c:v>2014</c:v>
                </c:pt>
                <c:pt idx="3">
                  <c:v>2015</c:v>
                </c:pt>
                <c:pt idx="4">
                  <c:v>2016</c:v>
                </c:pt>
                <c:pt idx="5">
                  <c:v>792</c:v>
                </c:pt>
                <c:pt idx="6">
                  <c:v>787</c:v>
                </c:pt>
                <c:pt idx="7">
                  <c:v>944</c:v>
                </c:pt>
                <c:pt idx="8">
                  <c:v>784</c:v>
                </c:pt>
                <c:pt idx="9">
                  <c:v>794</c:v>
                </c:pt>
              </c:numCache>
            </c:numRef>
          </c:cat>
          <c:val>
            <c:numRef>
              <c:f>'DEI02-Avance Plan Plurianual BH'!$O$20:$O$29</c:f>
              <c:numCache>
                <c:formatCode>0.00%</c:formatCode>
                <c:ptCount val="10"/>
                <c:pt idx="0">
                  <c:v>0.93878764505245582</c:v>
                </c:pt>
                <c:pt idx="1">
                  <c:v>1.1060593476045544</c:v>
                </c:pt>
                <c:pt idx="2">
                  <c:v>1.0849561472461453</c:v>
                </c:pt>
                <c:pt idx="3">
                  <c:v>1.1693351069448075</c:v>
                </c:pt>
                <c:pt idx="4">
                  <c:v>0.97612764118671236</c:v>
                </c:pt>
                <c:pt idx="5">
                  <c:v>0.67600000000000005</c:v>
                </c:pt>
                <c:pt idx="6">
                  <c:v>1</c:v>
                </c:pt>
                <c:pt idx="7">
                  <c:v>1</c:v>
                </c:pt>
                <c:pt idx="8">
                  <c:v>0.88600000000000012</c:v>
                </c:pt>
                <c:pt idx="9">
                  <c:v>1.1393726500000003</c:v>
                </c:pt>
              </c:numCache>
            </c:numRef>
          </c:val>
          <c:extLst>
            <c:ext xmlns:c16="http://schemas.microsoft.com/office/drawing/2014/chart" uri="{C3380CC4-5D6E-409C-BE32-E72D297353CC}">
              <c16:uniqueId val="{00000000-4CD9-4D57-8B1F-64F009C4B30E}"/>
            </c:ext>
          </c:extLst>
        </c:ser>
        <c:dLbls>
          <c:showLegendKey val="0"/>
          <c:showVal val="0"/>
          <c:showCatName val="0"/>
          <c:showSerName val="0"/>
          <c:showPercent val="0"/>
          <c:showBubbleSize val="0"/>
        </c:dLbls>
        <c:gapWidth val="100"/>
        <c:axId val="279447672"/>
        <c:axId val="1"/>
      </c:barChart>
      <c:catAx>
        <c:axId val="279447672"/>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Proyectos de Inversión</a:t>
                </a:r>
              </a:p>
            </c:rich>
          </c:tx>
          <c:layout>
            <c:manualLayout>
              <c:xMode val="edge"/>
              <c:yMode val="edge"/>
              <c:x val="0.46422425343685186"/>
              <c:y val="0.89053254437869822"/>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 de Avance</a:t>
                </a:r>
              </a:p>
            </c:rich>
          </c:tx>
          <c:layout>
            <c:manualLayout>
              <c:xMode val="edge"/>
              <c:yMode val="edge"/>
              <c:x val="2.7923205403520366E-2"/>
              <c:y val="0.42307692307692307"/>
            </c:manualLayout>
          </c:layout>
          <c:overlay val="0"/>
          <c:spPr>
            <a:noFill/>
            <a:ln w="25400">
              <a:noFill/>
            </a:ln>
          </c:spPr>
        </c:title>
        <c:numFmt formatCode="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447672"/>
        <c:crosses val="autoZero"/>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ponderado 2012-2016</a:t>
            </a:r>
          </a:p>
        </c:rich>
      </c:tx>
      <c:layout/>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'DEI02-Avance Plan Plurianual BH'!$O$20:$O$24</c:f>
              <c:numCache>
                <c:formatCode>0.00%</c:formatCode>
                <c:ptCount val="5"/>
                <c:pt idx="0">
                  <c:v>0.93878764505245582</c:v>
                </c:pt>
                <c:pt idx="1">
                  <c:v>1.1060593476045544</c:v>
                </c:pt>
                <c:pt idx="2">
                  <c:v>1.0849561472461453</c:v>
                </c:pt>
                <c:pt idx="3">
                  <c:v>1.1693351069448075</c:v>
                </c:pt>
                <c:pt idx="4">
                  <c:v>0.97612764118671236</c:v>
                </c:pt>
              </c:numCache>
            </c:numRef>
          </c:val>
          <c:extLst>
            <c:ext xmlns:c16="http://schemas.microsoft.com/office/drawing/2014/chart" uri="{C3380CC4-5D6E-409C-BE32-E72D297353CC}">
              <c16:uniqueId val="{00000000-62A5-4F41-AAD7-339DE63DA4E4}"/>
            </c:ext>
          </c:extLst>
        </c:ser>
        <c:dLbls>
          <c:showLegendKey val="0"/>
          <c:showVal val="0"/>
          <c:showCatName val="0"/>
          <c:showSerName val="0"/>
          <c:showPercent val="0"/>
          <c:showBubbleSize val="0"/>
        </c:dLbls>
        <c:gapWidth val="219"/>
        <c:overlap val="-27"/>
        <c:axId val="279449968"/>
        <c:axId val="1"/>
      </c:barChart>
      <c:catAx>
        <c:axId val="2794499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2012</a:t>
                </a:r>
                <a:r>
                  <a:rPr lang="es-CO" baseline="0"/>
                  <a:t>                2013                  2014                2015              2016</a:t>
                </a:r>
                <a:endParaRPr lang="es-CO"/>
              </a:p>
            </c:rich>
          </c:tx>
          <c:layout>
            <c:manualLayout>
              <c:xMode val="edge"/>
              <c:yMode val="edge"/>
              <c:x val="0.23223489995143537"/>
              <c:y val="0.89777704870224551"/>
            </c:manualLayout>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Porcentaje</a:t>
                </a:r>
              </a:p>
            </c:rich>
          </c:tx>
          <c:layout/>
          <c:overlay val="0"/>
          <c:spPr>
            <a:noFill/>
            <a:ln w="25400">
              <a:noFill/>
            </a:ln>
          </c:spPr>
        </c:title>
        <c:numFmt formatCode="0.0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94499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png"/><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absolute">
    <xdr:from>
      <xdr:col>0</xdr:col>
      <xdr:colOff>428625</xdr:colOff>
      <xdr:row>0</xdr:row>
      <xdr:rowOff>19050</xdr:rowOff>
    </xdr:from>
    <xdr:to>
      <xdr:col>1</xdr:col>
      <xdr:colOff>990600</xdr:colOff>
      <xdr:row>5</xdr:row>
      <xdr:rowOff>152400</xdr:rowOff>
    </xdr:to>
    <xdr:pic>
      <xdr:nvPicPr>
        <xdr:cNvPr id="2299"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428625" y="19050"/>
          <a:ext cx="1276350" cy="990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0</xdr:col>
      <xdr:colOff>0</xdr:colOff>
      <xdr:row>38</xdr:row>
      <xdr:rowOff>66675</xdr:rowOff>
    </xdr:from>
    <xdr:to>
      <xdr:col>4</xdr:col>
      <xdr:colOff>428625</xdr:colOff>
      <xdr:row>42</xdr:row>
      <xdr:rowOff>657225</xdr:rowOff>
    </xdr:to>
    <xdr:graphicFrame macro="">
      <xdr:nvGraphicFramePr>
        <xdr:cNvPr id="230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4</xdr:col>
      <xdr:colOff>419100</xdr:colOff>
      <xdr:row>38</xdr:row>
      <xdr:rowOff>38100</xdr:rowOff>
    </xdr:from>
    <xdr:to>
      <xdr:col>9</xdr:col>
      <xdr:colOff>590550</xdr:colOff>
      <xdr:row>42</xdr:row>
      <xdr:rowOff>552450</xdr:rowOff>
    </xdr:to>
    <xdr:graphicFrame macro="">
      <xdr:nvGraphicFramePr>
        <xdr:cNvPr id="2301"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319</xdr:row>
      <xdr:rowOff>85725</xdr:rowOff>
    </xdr:from>
    <xdr:to>
      <xdr:col>4</xdr:col>
      <xdr:colOff>1209675</xdr:colOff>
      <xdr:row>339</xdr:row>
      <xdr:rowOff>171450</xdr:rowOff>
    </xdr:to>
    <xdr:graphicFrame macro="">
      <xdr:nvGraphicFramePr>
        <xdr:cNvPr id="1237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1038225</xdr:colOff>
      <xdr:row>0</xdr:row>
      <xdr:rowOff>0</xdr:rowOff>
    </xdr:from>
    <xdr:to>
      <xdr:col>0</xdr:col>
      <xdr:colOff>2524125</xdr:colOff>
      <xdr:row>5</xdr:row>
      <xdr:rowOff>171450</xdr:rowOff>
    </xdr:to>
    <xdr:pic>
      <xdr:nvPicPr>
        <xdr:cNvPr id="13562"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1038225" y="0"/>
          <a:ext cx="1485900" cy="1028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0</xdr:col>
      <xdr:colOff>0</xdr:colOff>
      <xdr:row>221</xdr:row>
      <xdr:rowOff>19050</xdr:rowOff>
    </xdr:from>
    <xdr:to>
      <xdr:col>2</xdr:col>
      <xdr:colOff>600075</xdr:colOff>
      <xdr:row>241</xdr:row>
      <xdr:rowOff>104775</xdr:rowOff>
    </xdr:to>
    <xdr:graphicFrame macro="">
      <xdr:nvGraphicFramePr>
        <xdr:cNvPr id="1356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66675</xdr:colOff>
      <xdr:row>44</xdr:row>
      <xdr:rowOff>9525</xdr:rowOff>
    </xdr:from>
    <xdr:to>
      <xdr:col>16</xdr:col>
      <xdr:colOff>1190625</xdr:colOff>
      <xdr:row>51</xdr:row>
      <xdr:rowOff>485775</xdr:rowOff>
    </xdr:to>
    <xdr:graphicFrame macro="">
      <xdr:nvGraphicFramePr>
        <xdr:cNvPr id="1356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19</xdr:col>
      <xdr:colOff>47625</xdr:colOff>
      <xdr:row>17</xdr:row>
      <xdr:rowOff>114300</xdr:rowOff>
    </xdr:from>
    <xdr:to>
      <xdr:col>24</xdr:col>
      <xdr:colOff>523875</xdr:colOff>
      <xdr:row>22</xdr:row>
      <xdr:rowOff>552450</xdr:rowOff>
    </xdr:to>
    <xdr:graphicFrame macro="">
      <xdr:nvGraphicFramePr>
        <xdr:cNvPr id="1450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542925</xdr:colOff>
      <xdr:row>31</xdr:row>
      <xdr:rowOff>209550</xdr:rowOff>
    </xdr:from>
    <xdr:to>
      <xdr:col>24</xdr:col>
      <xdr:colOff>76200</xdr:colOff>
      <xdr:row>37</xdr:row>
      <xdr:rowOff>76200</xdr:rowOff>
    </xdr:to>
    <xdr:graphicFrame macro="">
      <xdr:nvGraphicFramePr>
        <xdr:cNvPr id="1450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57150</xdr:rowOff>
    </xdr:from>
    <xdr:to>
      <xdr:col>1</xdr:col>
      <xdr:colOff>0</xdr:colOff>
      <xdr:row>4</xdr:row>
      <xdr:rowOff>323850</xdr:rowOff>
    </xdr:to>
    <xdr:pic>
      <xdr:nvPicPr>
        <xdr:cNvPr id="16468" name="1 Imagen"/>
        <xdr:cNvPicPr>
          <a:picLocks noChangeAspect="1" noChangeArrowheads="1"/>
        </xdr:cNvPicPr>
      </xdr:nvPicPr>
      <xdr:blipFill>
        <a:blip xmlns:r="http://schemas.openxmlformats.org/officeDocument/2006/relationships" r:embed="rId1">
          <a:lum bright="-50000"/>
          <a:extLst>
            <a:ext uri="{28A0092B-C50C-407E-A947-70E740481C1C}">
              <a14:useLocalDpi xmlns:a14="http://schemas.microsoft.com/office/drawing/2010/main" val="0"/>
            </a:ext>
          </a:extLst>
        </a:blip>
        <a:srcRect/>
        <a:stretch>
          <a:fillRect/>
        </a:stretch>
      </xdr:blipFill>
      <xdr:spPr bwMode="auto">
        <a:xfrm>
          <a:off x="0" y="257175"/>
          <a:ext cx="1076325" cy="1333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38100</xdr:colOff>
      <xdr:row>0</xdr:row>
      <xdr:rowOff>19050</xdr:rowOff>
    </xdr:from>
    <xdr:to>
      <xdr:col>2</xdr:col>
      <xdr:colOff>171450</xdr:colOff>
      <xdr:row>5</xdr:row>
      <xdr:rowOff>171450</xdr:rowOff>
    </xdr:to>
    <xdr:pic>
      <xdr:nvPicPr>
        <xdr:cNvPr id="17576"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752475" y="19050"/>
          <a:ext cx="12096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1</xdr:col>
      <xdr:colOff>619125</xdr:colOff>
      <xdr:row>23</xdr:row>
      <xdr:rowOff>180975</xdr:rowOff>
    </xdr:from>
    <xdr:to>
      <xdr:col>7</xdr:col>
      <xdr:colOff>781050</xdr:colOff>
      <xdr:row>31</xdr:row>
      <xdr:rowOff>114300</xdr:rowOff>
    </xdr:to>
    <xdr:graphicFrame macro="">
      <xdr:nvGraphicFramePr>
        <xdr:cNvPr id="1757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317</xdr:row>
      <xdr:rowOff>123825</xdr:rowOff>
    </xdr:from>
    <xdr:to>
      <xdr:col>4</xdr:col>
      <xdr:colOff>1066800</xdr:colOff>
      <xdr:row>338</xdr:row>
      <xdr:rowOff>28575</xdr:rowOff>
    </xdr:to>
    <xdr:graphicFrame macro="">
      <xdr:nvGraphicFramePr>
        <xdr:cNvPr id="418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315</xdr:row>
      <xdr:rowOff>9525</xdr:rowOff>
    </xdr:from>
    <xdr:to>
      <xdr:col>4</xdr:col>
      <xdr:colOff>1066800</xdr:colOff>
      <xdr:row>335</xdr:row>
      <xdr:rowOff>95250</xdr:rowOff>
    </xdr:to>
    <xdr:graphicFrame macro="">
      <xdr:nvGraphicFramePr>
        <xdr:cNvPr id="520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317</xdr:row>
      <xdr:rowOff>152400</xdr:rowOff>
    </xdr:from>
    <xdr:to>
      <xdr:col>4</xdr:col>
      <xdr:colOff>1066800</xdr:colOff>
      <xdr:row>338</xdr:row>
      <xdr:rowOff>57150</xdr:rowOff>
    </xdr:to>
    <xdr:graphicFrame macro="">
      <xdr:nvGraphicFramePr>
        <xdr:cNvPr id="622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315</xdr:row>
      <xdr:rowOff>9525</xdr:rowOff>
    </xdr:from>
    <xdr:to>
      <xdr:col>4</xdr:col>
      <xdr:colOff>1066800</xdr:colOff>
      <xdr:row>335</xdr:row>
      <xdr:rowOff>95250</xdr:rowOff>
    </xdr:to>
    <xdr:graphicFrame macro="">
      <xdr:nvGraphicFramePr>
        <xdr:cNvPr id="725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495300</xdr:colOff>
      <xdr:row>0</xdr:row>
      <xdr:rowOff>19050</xdr:rowOff>
    </xdr:from>
    <xdr:to>
      <xdr:col>1</xdr:col>
      <xdr:colOff>419100</xdr:colOff>
      <xdr:row>5</xdr:row>
      <xdr:rowOff>171450</xdr:rowOff>
    </xdr:to>
    <xdr:pic>
      <xdr:nvPicPr>
        <xdr:cNvPr id="8456"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495300" y="19050"/>
          <a:ext cx="14763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0</xdr:col>
      <xdr:colOff>0</xdr:colOff>
      <xdr:row>266</xdr:row>
      <xdr:rowOff>73025</xdr:rowOff>
    </xdr:from>
    <xdr:to>
      <xdr:col>3</xdr:col>
      <xdr:colOff>781050</xdr:colOff>
      <xdr:row>286</xdr:row>
      <xdr:rowOff>168275</xdr:rowOff>
    </xdr:to>
    <xdr:graphicFrame macro="">
      <xdr:nvGraphicFramePr>
        <xdr:cNvPr id="845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193675</xdr:colOff>
      <xdr:row>33</xdr:row>
      <xdr:rowOff>133350</xdr:rowOff>
    </xdr:from>
    <xdr:to>
      <xdr:col>4</xdr:col>
      <xdr:colOff>98425</xdr:colOff>
      <xdr:row>36</xdr:row>
      <xdr:rowOff>714375</xdr:rowOff>
    </xdr:to>
    <xdr:graphicFrame macro="">
      <xdr:nvGraphicFramePr>
        <xdr:cNvPr id="845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657225</xdr:colOff>
      <xdr:row>33</xdr:row>
      <xdr:rowOff>285750</xdr:rowOff>
    </xdr:from>
    <xdr:to>
      <xdr:col>8</xdr:col>
      <xdr:colOff>866775</xdr:colOff>
      <xdr:row>36</xdr:row>
      <xdr:rowOff>390525</xdr:rowOff>
    </xdr:to>
    <xdr:graphicFrame macro="">
      <xdr:nvGraphicFramePr>
        <xdr:cNvPr id="8459"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317</xdr:row>
      <xdr:rowOff>114300</xdr:rowOff>
    </xdr:from>
    <xdr:to>
      <xdr:col>4</xdr:col>
      <xdr:colOff>1066800</xdr:colOff>
      <xdr:row>338</xdr:row>
      <xdr:rowOff>19050</xdr:rowOff>
    </xdr:to>
    <xdr:graphicFrame macro="">
      <xdr:nvGraphicFramePr>
        <xdr:cNvPr id="930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318</xdr:row>
      <xdr:rowOff>123825</xdr:rowOff>
    </xdr:from>
    <xdr:to>
      <xdr:col>4</xdr:col>
      <xdr:colOff>1066800</xdr:colOff>
      <xdr:row>339</xdr:row>
      <xdr:rowOff>28575</xdr:rowOff>
    </xdr:to>
    <xdr:graphicFrame macro="">
      <xdr:nvGraphicFramePr>
        <xdr:cNvPr id="1032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318</xdr:row>
      <xdr:rowOff>123825</xdr:rowOff>
    </xdr:from>
    <xdr:to>
      <xdr:col>4</xdr:col>
      <xdr:colOff>1066800</xdr:colOff>
      <xdr:row>339</xdr:row>
      <xdr:rowOff>28575</xdr:rowOff>
    </xdr:to>
    <xdr:graphicFrame macro="">
      <xdr:nvGraphicFramePr>
        <xdr:cNvPr id="1134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9.5703125" style="1" customWidth="1"/>
    <col min="2" max="2" width="10.5703125" style="1" customWidth="1"/>
    <col min="3" max="3" width="19.7109375" style="1" customWidth="1"/>
    <col min="4" max="4" width="16.85546875" style="1" customWidth="1"/>
    <col min="5" max="5" width="18.42578125" style="1" customWidth="1"/>
    <col min="6" max="7" width="17.28515625" style="1" customWidth="1"/>
    <col min="8" max="8" width="20.140625" style="1" customWidth="1"/>
    <col min="9" max="9" width="18.7109375" style="1" customWidth="1"/>
    <col min="10" max="10" width="18.42578125" style="1" customWidth="1"/>
    <col min="11" max="11" width="17.140625" style="1" customWidth="1"/>
    <col min="12" max="12" width="17.85546875" style="1" customWidth="1"/>
    <col min="13" max="13" width="52.7109375" style="1" customWidth="1"/>
    <col min="14" max="14" width="2.7109375" style="1" customWidth="1"/>
    <col min="15" max="16384" width="11.42578125" style="1"/>
  </cols>
  <sheetData>
    <row r="1" spans="1:256" s="3" customFormat="1" ht="13.9" customHeight="1">
      <c r="A1" s="179" t="s">
        <v>0</v>
      </c>
      <c r="B1" s="179"/>
      <c r="C1" s="179"/>
      <c r="D1" s="179"/>
      <c r="E1" s="179"/>
      <c r="F1" s="179"/>
      <c r="G1" s="179"/>
      <c r="H1" s="179"/>
      <c r="I1" s="179"/>
      <c r="J1" s="179"/>
      <c r="K1" s="179"/>
      <c r="L1" s="179"/>
      <c r="M1" s="179"/>
    </row>
    <row r="2" spans="1:256" s="3" customFormat="1" ht="13.9" customHeight="1">
      <c r="A2" s="179"/>
      <c r="B2" s="179"/>
      <c r="C2" s="179"/>
      <c r="D2" s="179"/>
      <c r="E2" s="179"/>
      <c r="F2" s="179"/>
      <c r="G2" s="179"/>
      <c r="H2" s="179"/>
      <c r="I2" s="179"/>
      <c r="J2" s="179"/>
      <c r="K2" s="179"/>
      <c r="L2" s="179"/>
      <c r="M2" s="179"/>
    </row>
    <row r="3" spans="1:256" s="3" customFormat="1" ht="13.9" customHeight="1">
      <c r="A3" s="179"/>
      <c r="B3" s="179"/>
      <c r="C3" s="179"/>
      <c r="D3" s="179"/>
      <c r="E3" s="179"/>
      <c r="F3" s="179"/>
      <c r="G3" s="179"/>
      <c r="H3" s="179"/>
      <c r="I3" s="179"/>
      <c r="J3" s="179"/>
      <c r="K3" s="179"/>
      <c r="L3" s="179"/>
      <c r="M3" s="179"/>
    </row>
    <row r="4" spans="1:256" s="3" customFormat="1" ht="13.9" customHeight="1">
      <c r="A4" s="179" t="s">
        <v>1</v>
      </c>
      <c r="B4" s="179"/>
      <c r="C4" s="179"/>
      <c r="D4" s="179"/>
      <c r="E4" s="179"/>
      <c r="F4" s="179"/>
      <c r="G4" s="179"/>
      <c r="H4" s="179"/>
      <c r="I4" s="179"/>
      <c r="J4" s="179"/>
      <c r="K4" s="179"/>
      <c r="L4" s="179"/>
      <c r="M4" s="179"/>
    </row>
    <row r="5" spans="1:256" s="3" customFormat="1" ht="13.9" customHeight="1">
      <c r="A5" s="179"/>
      <c r="B5" s="179"/>
      <c r="C5" s="179"/>
      <c r="D5" s="179"/>
      <c r="E5" s="179"/>
      <c r="F5" s="179"/>
      <c r="G5" s="179"/>
      <c r="H5" s="179"/>
      <c r="I5" s="179"/>
      <c r="J5" s="179"/>
      <c r="K5" s="179"/>
      <c r="L5" s="179"/>
      <c r="M5" s="179"/>
    </row>
    <row r="6" spans="1:256" s="3" customFormat="1" ht="13.9" customHeight="1">
      <c r="A6" s="179"/>
      <c r="B6" s="179"/>
      <c r="C6" s="179"/>
      <c r="D6" s="179"/>
      <c r="E6" s="179"/>
      <c r="F6" s="179"/>
      <c r="G6" s="179"/>
      <c r="H6" s="179"/>
      <c r="I6" s="179"/>
      <c r="J6" s="179"/>
      <c r="K6" s="179"/>
      <c r="L6" s="179"/>
      <c r="M6" s="179"/>
    </row>
    <row r="7" spans="1:256" s="3" customFormat="1" ht="12.75" customHeight="1">
      <c r="A7" s="180"/>
      <c r="B7" s="180"/>
      <c r="C7" s="180"/>
      <c r="D7" s="180"/>
      <c r="E7" s="180"/>
      <c r="F7" s="180"/>
      <c r="G7" s="180"/>
      <c r="H7" s="180"/>
      <c r="I7" s="180"/>
      <c r="J7" s="180"/>
      <c r="K7" s="180"/>
      <c r="L7" s="180"/>
      <c r="M7" s="180"/>
    </row>
    <row r="8" spans="1:256" ht="30" customHeight="1">
      <c r="A8" s="174" t="s">
        <v>2</v>
      </c>
      <c r="B8" s="174"/>
      <c r="C8" s="174"/>
      <c r="D8" s="174"/>
      <c r="E8" s="174"/>
      <c r="F8" s="174"/>
      <c r="G8" s="174"/>
      <c r="H8" s="174"/>
      <c r="I8" s="174"/>
      <c r="J8" s="174"/>
      <c r="K8" s="174"/>
      <c r="L8" s="174"/>
      <c r="M8" s="174"/>
    </row>
    <row r="9" spans="1:256" ht="42" customHeight="1">
      <c r="A9" s="177" t="s">
        <v>3</v>
      </c>
      <c r="B9" s="177"/>
      <c r="C9" s="177"/>
      <c r="D9" s="178" t="s">
        <v>4</v>
      </c>
      <c r="E9" s="178"/>
      <c r="F9" s="178"/>
      <c r="G9" s="178"/>
      <c r="H9" s="178"/>
      <c r="I9" s="178"/>
      <c r="J9" s="177" t="s">
        <v>5</v>
      </c>
      <c r="K9" s="177"/>
      <c r="L9" s="177"/>
      <c r="M9" s="5" t="s">
        <v>6</v>
      </c>
    </row>
    <row r="10" spans="1:256" ht="42" customHeight="1">
      <c r="A10" s="177" t="s">
        <v>7</v>
      </c>
      <c r="B10" s="177"/>
      <c r="C10" s="177"/>
      <c r="D10" s="178" t="s">
        <v>8</v>
      </c>
      <c r="E10" s="178"/>
      <c r="F10" s="178"/>
      <c r="G10" s="178"/>
      <c r="H10" s="178"/>
      <c r="I10" s="178"/>
      <c r="J10" s="177" t="s">
        <v>9</v>
      </c>
      <c r="K10" s="177"/>
      <c r="L10" s="177"/>
      <c r="M10" s="5" t="s">
        <v>10</v>
      </c>
    </row>
    <row r="11" spans="1:256" ht="15" customHeight="1">
      <c r="A11" s="177" t="s">
        <v>11</v>
      </c>
      <c r="B11" s="177"/>
      <c r="C11" s="177"/>
      <c r="D11" s="178" t="s">
        <v>12</v>
      </c>
      <c r="E11" s="178"/>
      <c r="F11" s="178"/>
      <c r="G11" s="178"/>
      <c r="H11" s="178"/>
      <c r="I11" s="178"/>
      <c r="J11" s="177" t="s">
        <v>13</v>
      </c>
      <c r="K11" s="177"/>
      <c r="L11" s="177"/>
      <c r="M11" s="1">
        <v>2015</v>
      </c>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14</v>
      </c>
      <c r="B13" s="174"/>
      <c r="C13" s="174"/>
      <c r="D13" s="174"/>
      <c r="E13" s="174"/>
      <c r="F13" s="174"/>
      <c r="G13" s="174"/>
      <c r="H13" s="174"/>
      <c r="I13" s="174"/>
      <c r="J13" s="174"/>
      <c r="K13" s="174"/>
      <c r="L13" s="174"/>
      <c r="M13" s="174"/>
    </row>
    <row r="14" spans="1:256" ht="45" customHeight="1">
      <c r="A14" s="4" t="s">
        <v>15</v>
      </c>
      <c r="B14" s="6" t="s">
        <v>16</v>
      </c>
      <c r="C14" s="6" t="s">
        <v>17</v>
      </c>
      <c r="D14" s="4" t="s">
        <v>18</v>
      </c>
      <c r="E14" s="4" t="s">
        <v>19</v>
      </c>
      <c r="F14" s="4" t="s">
        <v>20</v>
      </c>
      <c r="G14" s="4" t="s">
        <v>21</v>
      </c>
      <c r="H14" s="4" t="s">
        <v>22</v>
      </c>
      <c r="I14" s="4" t="s">
        <v>23</v>
      </c>
      <c r="J14" s="4" t="s">
        <v>20</v>
      </c>
      <c r="K14" s="4" t="s">
        <v>21</v>
      </c>
      <c r="L14" s="4" t="s">
        <v>22</v>
      </c>
      <c r="M14" s="4" t="s">
        <v>24</v>
      </c>
    </row>
    <row r="15" spans="1:256" ht="44.85" customHeight="1">
      <c r="A15" s="7"/>
      <c r="B15" s="8"/>
      <c r="C15" s="9"/>
      <c r="D15" s="9"/>
      <c r="E15" s="9"/>
      <c r="F15" s="9"/>
      <c r="G15" s="9"/>
      <c r="H15" s="9">
        <f t="shared" ref="H15:H27" si="0">+F15+G15</f>
        <v>0</v>
      </c>
      <c r="I15" s="9"/>
      <c r="J15" s="9"/>
      <c r="K15" s="9"/>
      <c r="L15" s="9">
        <f t="shared" ref="L15:L27" si="1">+J15-K15</f>
        <v>0</v>
      </c>
      <c r="M15" s="9"/>
    </row>
    <row r="16" spans="1:256" ht="44.85" customHeight="1">
      <c r="A16" s="7"/>
      <c r="B16" s="8"/>
      <c r="C16" s="9"/>
      <c r="D16" s="9"/>
      <c r="E16" s="9"/>
      <c r="F16" s="9"/>
      <c r="G16" s="9"/>
      <c r="H16" s="9">
        <f t="shared" si="0"/>
        <v>0</v>
      </c>
      <c r="I16" s="9"/>
      <c r="J16" s="9"/>
      <c r="K16" s="9"/>
      <c r="L16" s="9">
        <f t="shared" si="1"/>
        <v>0</v>
      </c>
      <c r="M16" s="9"/>
    </row>
    <row r="17" spans="1:13" ht="44.85" customHeight="1">
      <c r="A17" s="7"/>
      <c r="B17" s="8"/>
      <c r="C17" s="9"/>
      <c r="D17" s="9"/>
      <c r="E17" s="9"/>
      <c r="F17" s="9"/>
      <c r="G17" s="9"/>
      <c r="H17" s="9">
        <f t="shared" si="0"/>
        <v>0</v>
      </c>
      <c r="I17" s="9"/>
      <c r="J17" s="9"/>
      <c r="K17" s="9"/>
      <c r="L17" s="9">
        <f t="shared" si="1"/>
        <v>0</v>
      </c>
      <c r="M17" s="9"/>
    </row>
    <row r="18" spans="1:13" ht="44.85" customHeight="1">
      <c r="A18" s="7"/>
      <c r="B18" s="10"/>
      <c r="C18" s="11"/>
      <c r="D18" s="11"/>
      <c r="E18" s="11"/>
      <c r="F18" s="11"/>
      <c r="G18" s="11"/>
      <c r="H18" s="9">
        <f t="shared" si="0"/>
        <v>0</v>
      </c>
      <c r="I18" s="11"/>
      <c r="J18" s="11"/>
      <c r="K18" s="11"/>
      <c r="L18" s="9">
        <f t="shared" si="1"/>
        <v>0</v>
      </c>
      <c r="M18" s="11"/>
    </row>
    <row r="19" spans="1:13" ht="44.85" customHeight="1">
      <c r="A19" s="7"/>
      <c r="B19" s="12"/>
      <c r="C19" s="11"/>
      <c r="D19" s="11"/>
      <c r="E19" s="11"/>
      <c r="F19" s="11"/>
      <c r="G19" s="11"/>
      <c r="H19" s="9">
        <f t="shared" si="0"/>
        <v>0</v>
      </c>
      <c r="I19" s="11"/>
      <c r="J19" s="11"/>
      <c r="K19" s="11"/>
      <c r="L19" s="9">
        <f t="shared" si="1"/>
        <v>0</v>
      </c>
      <c r="M19" s="11"/>
    </row>
    <row r="20" spans="1:13" ht="44.85" customHeight="1">
      <c r="A20" s="7"/>
      <c r="B20" s="8"/>
      <c r="C20" s="11"/>
      <c r="D20" s="11"/>
      <c r="E20" s="11"/>
      <c r="F20" s="11"/>
      <c r="G20" s="11"/>
      <c r="H20" s="9">
        <f t="shared" si="0"/>
        <v>0</v>
      </c>
      <c r="I20" s="11"/>
      <c r="J20" s="11"/>
      <c r="K20" s="11"/>
      <c r="L20" s="9">
        <f t="shared" si="1"/>
        <v>0</v>
      </c>
      <c r="M20" s="11"/>
    </row>
    <row r="21" spans="1:13" ht="44.85" customHeight="1">
      <c r="A21" s="7"/>
      <c r="B21" s="8"/>
      <c r="C21" s="11"/>
      <c r="D21" s="11"/>
      <c r="E21" s="11"/>
      <c r="F21" s="11"/>
      <c r="G21" s="11"/>
      <c r="H21" s="9">
        <f t="shared" si="0"/>
        <v>0</v>
      </c>
      <c r="I21" s="11"/>
      <c r="J21" s="11"/>
      <c r="K21" s="11"/>
      <c r="L21" s="9">
        <f t="shared" si="1"/>
        <v>0</v>
      </c>
      <c r="M21" s="11"/>
    </row>
    <row r="22" spans="1:13" ht="44.85" customHeight="1">
      <c r="A22" s="7"/>
      <c r="B22" s="10"/>
      <c r="C22" s="11"/>
      <c r="D22" s="11"/>
      <c r="E22" s="11"/>
      <c r="F22" s="11"/>
      <c r="G22" s="11"/>
      <c r="H22" s="9">
        <f t="shared" si="0"/>
        <v>0</v>
      </c>
      <c r="I22" s="11"/>
      <c r="J22" s="11"/>
      <c r="K22" s="11"/>
      <c r="L22" s="9">
        <f t="shared" si="1"/>
        <v>0</v>
      </c>
      <c r="M22" s="11"/>
    </row>
    <row r="23" spans="1:13" ht="44.85" customHeight="1">
      <c r="A23" s="7"/>
      <c r="B23" s="12"/>
      <c r="C23" s="11"/>
      <c r="D23" s="11"/>
      <c r="E23" s="11"/>
      <c r="F23" s="11"/>
      <c r="G23" s="11"/>
      <c r="H23" s="9">
        <f t="shared" si="0"/>
        <v>0</v>
      </c>
      <c r="I23" s="11"/>
      <c r="J23" s="11"/>
      <c r="K23" s="11"/>
      <c r="L23" s="9">
        <f t="shared" si="1"/>
        <v>0</v>
      </c>
      <c r="M23" s="11"/>
    </row>
    <row r="24" spans="1:13" ht="44.85" customHeight="1">
      <c r="A24" s="7"/>
      <c r="B24" s="8"/>
      <c r="C24" s="11"/>
      <c r="D24" s="11"/>
      <c r="E24" s="11"/>
      <c r="F24" s="11"/>
      <c r="G24" s="11"/>
      <c r="H24" s="9">
        <f t="shared" si="0"/>
        <v>0</v>
      </c>
      <c r="I24" s="11"/>
      <c r="J24" s="11"/>
      <c r="K24" s="11"/>
      <c r="L24" s="9">
        <f t="shared" si="1"/>
        <v>0</v>
      </c>
      <c r="M24" s="11"/>
    </row>
    <row r="25" spans="1:13" ht="44.85" customHeight="1">
      <c r="A25" s="7"/>
      <c r="B25" s="8"/>
      <c r="C25" s="11"/>
      <c r="D25" s="11"/>
      <c r="E25" s="11"/>
      <c r="F25" s="11"/>
      <c r="G25" s="11"/>
      <c r="H25" s="9">
        <f t="shared" si="0"/>
        <v>0</v>
      </c>
      <c r="I25" s="11"/>
      <c r="J25" s="11"/>
      <c r="K25" s="11"/>
      <c r="L25" s="9">
        <f t="shared" si="1"/>
        <v>0</v>
      </c>
      <c r="M25" s="11"/>
    </row>
    <row r="26" spans="1:13" ht="44.85" customHeight="1">
      <c r="A26" s="7"/>
      <c r="B26" s="10"/>
      <c r="C26" s="11"/>
      <c r="D26" s="11"/>
      <c r="E26" s="11"/>
      <c r="F26" s="11"/>
      <c r="G26" s="11"/>
      <c r="H26" s="9">
        <f t="shared" si="0"/>
        <v>0</v>
      </c>
      <c r="I26" s="11"/>
      <c r="J26" s="11"/>
      <c r="K26" s="11"/>
      <c r="L26" s="9">
        <f t="shared" si="1"/>
        <v>0</v>
      </c>
      <c r="M26" s="11"/>
    </row>
    <row r="27" spans="1:13" ht="44.85" customHeight="1">
      <c r="A27" s="7"/>
      <c r="B27" s="12"/>
      <c r="C27" s="11"/>
      <c r="D27" s="11"/>
      <c r="E27" s="11"/>
      <c r="F27" s="11"/>
      <c r="G27" s="11"/>
      <c r="H27" s="9">
        <f t="shared" si="0"/>
        <v>0</v>
      </c>
      <c r="I27" s="11"/>
      <c r="J27" s="11"/>
      <c r="K27" s="11"/>
      <c r="L27" s="9">
        <f t="shared" si="1"/>
        <v>0</v>
      </c>
      <c r="M27" s="11"/>
    </row>
    <row r="28" spans="1:13" s="15" customFormat="1" ht="12.75" customHeight="1">
      <c r="A28" s="13"/>
      <c r="B28" s="13"/>
      <c r="C28" s="14">
        <v>0.8</v>
      </c>
      <c r="D28" s="14">
        <v>0.8</v>
      </c>
      <c r="E28" s="14">
        <v>0.8</v>
      </c>
      <c r="F28" s="14">
        <v>0.8</v>
      </c>
      <c r="G28" s="14">
        <v>0.8</v>
      </c>
      <c r="H28" s="14">
        <v>0.8</v>
      </c>
      <c r="I28" s="14">
        <v>0.8</v>
      </c>
      <c r="J28" s="14">
        <v>0.8</v>
      </c>
      <c r="K28" s="14">
        <v>0.8</v>
      </c>
      <c r="L28" s="14">
        <v>0.8</v>
      </c>
      <c r="M28" s="14">
        <v>0.8</v>
      </c>
    </row>
    <row r="29" spans="1:13" ht="30" customHeight="1">
      <c r="A29" s="175"/>
      <c r="B29" s="175"/>
      <c r="C29" s="175"/>
      <c r="D29" s="175"/>
      <c r="E29" s="175"/>
      <c r="F29" s="175"/>
      <c r="G29" s="175"/>
      <c r="H29" s="175"/>
      <c r="I29" s="175"/>
      <c r="J29" s="175"/>
      <c r="K29" s="176"/>
      <c r="L29" s="176"/>
      <c r="M29" s="176"/>
    </row>
    <row r="30" spans="1:13" ht="36.6" customHeight="1">
      <c r="A30" s="16"/>
      <c r="B30" s="17"/>
      <c r="C30" s="17"/>
      <c r="D30" s="17"/>
      <c r="E30" s="17"/>
      <c r="F30" s="17"/>
      <c r="G30" s="17"/>
      <c r="H30" s="18"/>
      <c r="I30" s="18"/>
      <c r="J30" s="19"/>
      <c r="K30" s="177" t="s">
        <v>25</v>
      </c>
      <c r="L30" s="177"/>
      <c r="M30" s="177"/>
    </row>
    <row r="31" spans="1:13" ht="36.6" customHeight="1">
      <c r="A31" s="20"/>
      <c r="B31" s="21"/>
      <c r="C31" s="21"/>
      <c r="D31" s="21"/>
      <c r="E31" s="21"/>
      <c r="F31" s="21"/>
      <c r="G31" s="21"/>
      <c r="H31" s="22"/>
      <c r="I31" s="22"/>
      <c r="J31" s="23"/>
      <c r="K31" s="173" t="s">
        <v>26</v>
      </c>
      <c r="L31" s="173"/>
      <c r="M31" s="173"/>
    </row>
    <row r="32" spans="1:13" ht="36.6" customHeight="1">
      <c r="A32" s="24"/>
      <c r="B32" s="25"/>
      <c r="C32" s="25"/>
      <c r="D32" s="25"/>
      <c r="E32" s="25"/>
      <c r="F32" s="25"/>
      <c r="G32" s="25"/>
      <c r="H32" s="26"/>
      <c r="I32" s="26"/>
      <c r="J32" s="27"/>
      <c r="K32" s="173" t="s">
        <v>27</v>
      </c>
      <c r="L32" s="173"/>
      <c r="M32" s="173"/>
    </row>
    <row r="40" ht="12.75" customHeight="1"/>
  </sheetData>
  <sheetProtection selectLockedCells="1" selectUnlockedCells="1"/>
  <mergeCells count="19">
    <mergeCell ref="A1:M3"/>
    <mergeCell ref="A4:M6"/>
    <mergeCell ref="A7:M7"/>
    <mergeCell ref="A8:M8"/>
    <mergeCell ref="A9:C9"/>
    <mergeCell ref="D9:I9"/>
    <mergeCell ref="J9:L9"/>
    <mergeCell ref="A10:C10"/>
    <mergeCell ref="D10:I10"/>
    <mergeCell ref="J10:L10"/>
    <mergeCell ref="A11:C11"/>
    <mergeCell ref="D11:I11"/>
    <mergeCell ref="J11:L11"/>
    <mergeCell ref="K32:M32"/>
    <mergeCell ref="A13:M13"/>
    <mergeCell ref="A29:J29"/>
    <mergeCell ref="K29:M29"/>
    <mergeCell ref="K30:M30"/>
    <mergeCell ref="K31:M31"/>
  </mergeCells>
  <dataValidations count="2">
    <dataValidation type="list" operator="equal" allowBlank="1" showErrorMessage="1" sqref="M9">
      <formula1>"EFICACIA,EFICIENCIA,EFECTIVIDAD"</formula1>
      <formula2>0</formula2>
    </dataValidation>
    <dataValidation operator="equal" allowBlank="1" showErrorMessage="1" errorTitle="Seleccionar un valor de la lista" sqref="F15:M27">
      <formula1>0</formula1>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topLeftCell="A10" zoomScale="75" zoomScaleNormal="75" workbookViewId="0">
      <selection activeCell="J31" sqref="J31"/>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5703125" style="1" customWidth="1"/>
    <col min="6" max="6" width="26.5703125" style="1" customWidth="1"/>
    <col min="7" max="11" width="13.28515625" style="1" customWidth="1"/>
    <col min="12" max="12" width="15.5703125" style="1" customWidth="1"/>
    <col min="13" max="13" width="10.7109375" style="1" customWidth="1"/>
    <col min="14" max="14" width="2.7109375" style="1" customWidth="1"/>
    <col min="15" max="16384" width="11.42578125" style="1"/>
  </cols>
  <sheetData>
    <row r="1" spans="1:256" s="3" customFormat="1" ht="13.9" customHeight="1">
      <c r="A1" s="179" t="s">
        <v>0</v>
      </c>
      <c r="B1" s="179"/>
      <c r="C1" s="179"/>
      <c r="D1" s="179"/>
      <c r="E1" s="179"/>
      <c r="F1" s="179"/>
      <c r="G1" s="179"/>
      <c r="H1" s="179"/>
      <c r="I1" s="179"/>
      <c r="J1" s="179"/>
      <c r="K1" s="179"/>
      <c r="L1" s="179"/>
      <c r="M1" s="179"/>
      <c r="N1" s="179"/>
    </row>
    <row r="2" spans="1:256" s="3" customFormat="1" ht="13.9" customHeight="1">
      <c r="A2" s="179"/>
      <c r="B2" s="179"/>
      <c r="C2" s="179"/>
      <c r="D2" s="179"/>
      <c r="E2" s="179"/>
      <c r="F2" s="179"/>
      <c r="G2" s="179"/>
      <c r="H2" s="179"/>
      <c r="I2" s="179"/>
      <c r="J2" s="179"/>
      <c r="K2" s="179"/>
      <c r="L2" s="179"/>
      <c r="M2" s="179"/>
      <c r="N2" s="179"/>
    </row>
    <row r="3" spans="1:256" s="3" customFormat="1" ht="13.9" customHeight="1">
      <c r="A3" s="179"/>
      <c r="B3" s="179"/>
      <c r="C3" s="179"/>
      <c r="D3" s="179"/>
      <c r="E3" s="179"/>
      <c r="F3" s="179"/>
      <c r="G3" s="179"/>
      <c r="H3" s="179"/>
      <c r="I3" s="179"/>
      <c r="J3" s="179"/>
      <c r="K3" s="179"/>
      <c r="L3" s="179"/>
      <c r="M3" s="179"/>
      <c r="N3" s="179"/>
    </row>
    <row r="4" spans="1:256" s="3" customFormat="1" ht="13.9" customHeight="1">
      <c r="A4" s="179" t="s">
        <v>1</v>
      </c>
      <c r="B4" s="179"/>
      <c r="C4" s="179"/>
      <c r="D4" s="179"/>
      <c r="E4" s="179"/>
      <c r="F4" s="179"/>
      <c r="G4" s="179"/>
      <c r="H4" s="179"/>
      <c r="I4" s="179"/>
      <c r="J4" s="179"/>
      <c r="K4" s="179"/>
      <c r="L4" s="179"/>
      <c r="M4" s="179"/>
      <c r="N4" s="179"/>
    </row>
    <row r="5" spans="1:256" s="3" customFormat="1" ht="13.9" customHeight="1">
      <c r="A5" s="179"/>
      <c r="B5" s="179"/>
      <c r="C5" s="179"/>
      <c r="D5" s="179"/>
      <c r="E5" s="179"/>
      <c r="F5" s="179"/>
      <c r="G5" s="179"/>
      <c r="H5" s="179"/>
      <c r="I5" s="179"/>
      <c r="J5" s="179"/>
      <c r="K5" s="179"/>
      <c r="L5" s="179"/>
      <c r="M5" s="179"/>
      <c r="N5" s="179"/>
    </row>
    <row r="6" spans="1:256" s="3" customFormat="1" ht="13.9" customHeight="1">
      <c r="A6" s="179"/>
      <c r="B6" s="179"/>
      <c r="C6" s="179"/>
      <c r="D6" s="179"/>
      <c r="E6" s="179"/>
      <c r="F6" s="179"/>
      <c r="G6" s="179"/>
      <c r="H6" s="179"/>
      <c r="I6" s="179"/>
      <c r="J6" s="179"/>
      <c r="K6" s="179"/>
      <c r="L6" s="179"/>
      <c r="M6" s="179"/>
      <c r="N6" s="179"/>
    </row>
    <row r="7" spans="1:256" s="3" customFormat="1" ht="12.75" customHeight="1">
      <c r="A7" s="180"/>
      <c r="B7" s="180"/>
      <c r="C7" s="180"/>
      <c r="D7" s="180"/>
      <c r="E7" s="180"/>
      <c r="F7" s="180"/>
      <c r="G7" s="180"/>
      <c r="H7" s="180"/>
      <c r="I7" s="180"/>
      <c r="J7" s="180"/>
      <c r="K7" s="180"/>
      <c r="L7" s="180"/>
      <c r="M7" s="180"/>
    </row>
    <row r="8" spans="1:256" ht="30" customHeight="1">
      <c r="A8" s="174" t="s">
        <v>2</v>
      </c>
      <c r="B8" s="174"/>
      <c r="C8" s="174"/>
      <c r="D8" s="174"/>
      <c r="E8" s="174"/>
      <c r="F8" s="174"/>
      <c r="G8" s="174"/>
      <c r="H8" s="174"/>
      <c r="I8" s="174"/>
      <c r="J8" s="174"/>
      <c r="K8" s="174"/>
      <c r="L8" s="174"/>
      <c r="M8" s="174"/>
    </row>
    <row r="9" spans="1:256" ht="42" customHeight="1">
      <c r="A9" s="177" t="s">
        <v>3</v>
      </c>
      <c r="B9" s="177"/>
      <c r="C9" s="177"/>
      <c r="D9" s="177"/>
      <c r="E9" s="177"/>
      <c r="F9" s="178" t="s">
        <v>202</v>
      </c>
      <c r="G9" s="178"/>
      <c r="H9" s="178"/>
      <c r="I9" s="177" t="s">
        <v>5</v>
      </c>
      <c r="J9" s="177"/>
      <c r="K9" s="186" t="s">
        <v>111</v>
      </c>
      <c r="L9" s="186"/>
      <c r="M9" s="186"/>
    </row>
    <row r="10" spans="1:256" ht="42" customHeight="1">
      <c r="A10" s="177" t="s">
        <v>7</v>
      </c>
      <c r="B10" s="177"/>
      <c r="C10" s="177"/>
      <c r="D10" s="177"/>
      <c r="E10" s="177"/>
      <c r="F10" s="178" t="s">
        <v>8</v>
      </c>
      <c r="G10" s="178"/>
      <c r="H10" s="178"/>
      <c r="I10" s="177" t="s">
        <v>9</v>
      </c>
      <c r="J10" s="177"/>
      <c r="K10" s="186" t="s">
        <v>10</v>
      </c>
      <c r="L10" s="186"/>
      <c r="M10" s="186"/>
    </row>
    <row r="11" spans="1:256" ht="52.9" customHeight="1">
      <c r="A11" s="177" t="s">
        <v>11</v>
      </c>
      <c r="B11" s="177"/>
      <c r="C11" s="177"/>
      <c r="D11" s="177"/>
      <c r="E11" s="177"/>
      <c r="F11" s="178" t="s">
        <v>112</v>
      </c>
      <c r="G11" s="178"/>
      <c r="H11" s="178"/>
      <c r="I11" s="177" t="s">
        <v>32</v>
      </c>
      <c r="J11" s="177"/>
      <c r="K11" s="186" t="s">
        <v>33</v>
      </c>
      <c r="L11" s="186"/>
      <c r="M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row>
    <row r="14" spans="1:256" ht="30" customHeight="1">
      <c r="A14" s="4" t="s">
        <v>53</v>
      </c>
      <c r="B14" s="4" t="s">
        <v>114</v>
      </c>
      <c r="C14" s="6" t="s">
        <v>115</v>
      </c>
      <c r="D14" s="6" t="s">
        <v>203</v>
      </c>
      <c r="E14" s="6" t="s">
        <v>117</v>
      </c>
      <c r="F14" s="6" t="s">
        <v>208</v>
      </c>
      <c r="G14" s="4">
        <v>2012</v>
      </c>
      <c r="H14" s="4">
        <v>2013</v>
      </c>
      <c r="I14" s="4">
        <v>2014</v>
      </c>
      <c r="J14" s="4">
        <v>2015</v>
      </c>
      <c r="K14" s="4">
        <v>2016</v>
      </c>
      <c r="L14" s="4" t="s">
        <v>204</v>
      </c>
      <c r="M14" s="4" t="s">
        <v>205</v>
      </c>
    </row>
    <row r="15" spans="1:256" ht="15" customHeight="1">
      <c r="A15" s="173" t="s">
        <v>209</v>
      </c>
      <c r="B15" s="173">
        <v>914</v>
      </c>
      <c r="C15" s="7" t="s">
        <v>121</v>
      </c>
      <c r="D15" s="79">
        <v>92000</v>
      </c>
      <c r="E15" s="39" t="s">
        <v>122</v>
      </c>
      <c r="F15" s="9" t="s">
        <v>210</v>
      </c>
      <c r="G15" s="32">
        <v>0</v>
      </c>
      <c r="H15" s="32">
        <v>31330</v>
      </c>
      <c r="I15" s="32">
        <v>46575</v>
      </c>
      <c r="J15" s="32">
        <f>+'Seguim Avance Metas PDD 2015'!R15</f>
        <v>80027</v>
      </c>
      <c r="K15" s="83">
        <f>+'Seguim Avance Metas PDD 2016'!R15</f>
        <v>42885</v>
      </c>
      <c r="L15" s="32">
        <f>+K15</f>
        <v>42885</v>
      </c>
      <c r="M15" s="34">
        <f t="shared" ref="M15:M23" si="0">+L15/D15</f>
        <v>0.46614130434782608</v>
      </c>
    </row>
    <row r="16" spans="1:256" ht="28.5" customHeight="1">
      <c r="A16" s="173"/>
      <c r="B16" s="173"/>
      <c r="C16" s="7" t="s">
        <v>123</v>
      </c>
      <c r="D16" s="79">
        <v>80</v>
      </c>
      <c r="E16" s="39" t="s">
        <v>124</v>
      </c>
      <c r="F16" s="9" t="s">
        <v>211</v>
      </c>
      <c r="G16" s="32">
        <v>0</v>
      </c>
      <c r="H16" s="32">
        <v>11</v>
      </c>
      <c r="I16" s="32">
        <v>4</v>
      </c>
      <c r="J16" s="32">
        <f>+'Seguim Avance Metas PDD 2015'!R16</f>
        <v>85</v>
      </c>
      <c r="K16" s="32">
        <f>+'Seguim Avance Metas PDD 2016'!R16</f>
        <v>85</v>
      </c>
      <c r="L16" s="32">
        <f>+K16</f>
        <v>85</v>
      </c>
      <c r="M16" s="34">
        <f t="shared" si="0"/>
        <v>1.0625</v>
      </c>
    </row>
    <row r="17" spans="1:22" ht="30" customHeight="1">
      <c r="A17" s="173"/>
      <c r="B17" s="173">
        <v>915</v>
      </c>
      <c r="C17" s="7" t="s">
        <v>125</v>
      </c>
      <c r="D17" s="79">
        <v>65216</v>
      </c>
      <c r="E17" s="39" t="s">
        <v>126</v>
      </c>
      <c r="F17" s="9" t="s">
        <v>210</v>
      </c>
      <c r="G17" s="32">
        <v>0</v>
      </c>
      <c r="H17" s="32">
        <v>14235</v>
      </c>
      <c r="I17" s="32">
        <v>36208</v>
      </c>
      <c r="J17" s="32">
        <f>+'Seguim Avance Metas PDD 2015'!R17</f>
        <v>58960</v>
      </c>
      <c r="K17" s="83">
        <f>+'Seguim Avance Metas PDD 2016'!R17</f>
        <v>48935</v>
      </c>
      <c r="L17" s="32">
        <f>+K17</f>
        <v>48935</v>
      </c>
      <c r="M17" s="34">
        <f t="shared" si="0"/>
        <v>0.75035267419038276</v>
      </c>
    </row>
    <row r="18" spans="1:22" ht="30" customHeight="1">
      <c r="A18" s="173"/>
      <c r="B18" s="173"/>
      <c r="C18" s="7" t="s">
        <v>127</v>
      </c>
      <c r="D18" s="79">
        <v>150</v>
      </c>
      <c r="E18" s="39" t="s">
        <v>128</v>
      </c>
      <c r="F18" s="9" t="s">
        <v>211</v>
      </c>
      <c r="G18" s="32">
        <v>0</v>
      </c>
      <c r="H18" s="32">
        <v>41</v>
      </c>
      <c r="I18" s="32">
        <v>41</v>
      </c>
      <c r="J18" s="32">
        <f>+'Seguim Avance Metas PDD 2015'!R18</f>
        <v>42</v>
      </c>
      <c r="K18" s="32">
        <f>+'Seguim Avance Metas PDD 2016'!R18</f>
        <v>36</v>
      </c>
      <c r="L18" s="32">
        <f>+SUM(G18,H18,I18,J18,K18)</f>
        <v>160</v>
      </c>
      <c r="M18" s="34">
        <f t="shared" si="0"/>
        <v>1.0666666666666667</v>
      </c>
    </row>
    <row r="19" spans="1:22" ht="15" customHeight="1">
      <c r="A19" s="173"/>
      <c r="B19" s="173">
        <v>772</v>
      </c>
      <c r="C19" s="7" t="s">
        <v>129</v>
      </c>
      <c r="D19" s="79">
        <v>6</v>
      </c>
      <c r="E19" s="39" t="s">
        <v>130</v>
      </c>
      <c r="F19" s="9" t="s">
        <v>210</v>
      </c>
      <c r="G19" s="32">
        <v>0</v>
      </c>
      <c r="H19" s="32">
        <v>2</v>
      </c>
      <c r="I19" s="32">
        <v>3</v>
      </c>
      <c r="J19" s="32">
        <f>+'Seguim Avance Metas PDD 2015'!R19</f>
        <v>5</v>
      </c>
      <c r="K19" s="83">
        <f>+'Seguim Avance Metas PDD 2016'!R19</f>
        <v>2</v>
      </c>
      <c r="L19" s="32">
        <f>+K19</f>
        <v>2</v>
      </c>
      <c r="M19" s="34">
        <f t="shared" si="0"/>
        <v>0.33333333333333331</v>
      </c>
    </row>
    <row r="20" spans="1:22" ht="15" customHeight="1">
      <c r="A20" s="173"/>
      <c r="B20" s="173"/>
      <c r="C20" s="7" t="s">
        <v>131</v>
      </c>
      <c r="D20" s="79">
        <v>111</v>
      </c>
      <c r="E20" s="39" t="s">
        <v>132</v>
      </c>
      <c r="F20" s="9" t="s">
        <v>211</v>
      </c>
      <c r="G20" s="32">
        <v>0</v>
      </c>
      <c r="H20" s="32">
        <v>25</v>
      </c>
      <c r="I20" s="32">
        <v>25</v>
      </c>
      <c r="J20" s="32">
        <f>+'Seguim Avance Metas PDD 2015'!R20</f>
        <v>56</v>
      </c>
      <c r="K20" s="32">
        <f>+'Seguim Avance Metas PDD 2016'!R20</f>
        <v>5</v>
      </c>
      <c r="L20" s="32">
        <f>+SUM(G20,H20,I20,J20,K20)</f>
        <v>111</v>
      </c>
      <c r="M20" s="34">
        <f t="shared" si="0"/>
        <v>1</v>
      </c>
    </row>
    <row r="21" spans="1:22" ht="15" customHeight="1">
      <c r="A21" s="173"/>
      <c r="B21" s="173"/>
      <c r="C21" s="7" t="s">
        <v>131</v>
      </c>
      <c r="D21" s="79">
        <v>5</v>
      </c>
      <c r="E21" s="39" t="s">
        <v>133</v>
      </c>
      <c r="F21" s="9" t="s">
        <v>211</v>
      </c>
      <c r="G21" s="32">
        <v>0</v>
      </c>
      <c r="H21" s="32">
        <v>1</v>
      </c>
      <c r="I21" s="32">
        <v>1</v>
      </c>
      <c r="J21" s="32">
        <f>+'Seguim Avance Metas PDD 2015'!R21</f>
        <v>2</v>
      </c>
      <c r="K21" s="32">
        <f>+'Seguim Avance Metas PDD 2016'!R21</f>
        <v>0</v>
      </c>
      <c r="L21" s="32">
        <f>+SUM(G21,H21,I21,J21,K21)</f>
        <v>4</v>
      </c>
      <c r="M21" s="34">
        <f t="shared" si="0"/>
        <v>0.8</v>
      </c>
    </row>
    <row r="22" spans="1:22" ht="15" customHeight="1">
      <c r="A22" s="173"/>
      <c r="B22" s="173">
        <v>795</v>
      </c>
      <c r="C22" s="7" t="s">
        <v>134</v>
      </c>
      <c r="D22" s="80">
        <v>1140000</v>
      </c>
      <c r="E22" s="39" t="s">
        <v>135</v>
      </c>
      <c r="F22" s="9" t="s">
        <v>212</v>
      </c>
      <c r="G22" s="32">
        <v>1051971</v>
      </c>
      <c r="H22" s="32">
        <v>1048011</v>
      </c>
      <c r="I22" s="32">
        <v>1680645</v>
      </c>
      <c r="J22" s="32">
        <f>+'Seguim Avance Metas PDD 2015'!R22</f>
        <v>1738401</v>
      </c>
      <c r="K22" s="32">
        <f>+'Seguim Avance Metas PDD 2016'!R22</f>
        <v>277787</v>
      </c>
      <c r="L22" s="32">
        <f>MAX(G22,H22,I22,J22,K22)</f>
        <v>1738401</v>
      </c>
      <c r="M22" s="34">
        <f t="shared" si="0"/>
        <v>1.5249131578947368</v>
      </c>
      <c r="P22" s="1">
        <v>2013</v>
      </c>
      <c r="Q22" s="1">
        <v>100</v>
      </c>
      <c r="R22" s="1">
        <v>20</v>
      </c>
      <c r="S22" s="1">
        <v>120</v>
      </c>
      <c r="T22" s="1">
        <v>127.85</v>
      </c>
    </row>
    <row r="23" spans="1:22" ht="12.75" customHeight="1">
      <c r="A23" s="173"/>
      <c r="B23" s="173"/>
      <c r="C23" s="7" t="s">
        <v>131</v>
      </c>
      <c r="D23" s="80">
        <v>2486</v>
      </c>
      <c r="E23" s="39" t="s">
        <v>140</v>
      </c>
      <c r="F23" s="9" t="s">
        <v>211</v>
      </c>
      <c r="G23" s="32">
        <v>453</v>
      </c>
      <c r="H23" s="32">
        <v>652</v>
      </c>
      <c r="I23" s="32">
        <v>574</v>
      </c>
      <c r="J23" s="32">
        <f>+'Seguim Avance Metas PDD 2015'!R23</f>
        <v>781</v>
      </c>
      <c r="K23" s="32">
        <f>+'Seguim Avance Metas PDD 2016'!R23</f>
        <v>123</v>
      </c>
      <c r="L23" s="32">
        <f>+SUM(G23,H23,I23,J23,K23)</f>
        <v>2583</v>
      </c>
      <c r="M23" s="34">
        <f t="shared" si="0"/>
        <v>1.0390185036202735</v>
      </c>
      <c r="P23" s="1">
        <v>2014</v>
      </c>
      <c r="Q23" s="1">
        <v>120</v>
      </c>
      <c r="S23" s="1">
        <v>127.85</v>
      </c>
      <c r="T23" s="1">
        <f>+T22*1.2</f>
        <v>153.41999999999999</v>
      </c>
    </row>
    <row r="24" spans="1:22" ht="12.75" customHeight="1">
      <c r="A24" s="173"/>
      <c r="B24" s="173"/>
      <c r="C24" s="7" t="s">
        <v>206</v>
      </c>
      <c r="D24" s="81">
        <v>0.2</v>
      </c>
      <c r="E24" s="39" t="s">
        <v>207</v>
      </c>
      <c r="F24" s="9" t="s">
        <v>212</v>
      </c>
      <c r="G24" s="32">
        <v>0</v>
      </c>
      <c r="H24" s="32">
        <v>0</v>
      </c>
      <c r="I24" s="34">
        <v>0.27850000000000003</v>
      </c>
      <c r="J24" s="34">
        <f>+'Seguim Avance Metas PDD 2015'!R24</f>
        <v>0.2</v>
      </c>
      <c r="K24" s="48">
        <f>+'Seguim Avance Metas PDD 2016'!R24</f>
        <v>0.06</v>
      </c>
      <c r="L24" s="42">
        <f>+(1+I24)*(1+J24)*(1+K24)</f>
        <v>1.626252</v>
      </c>
      <c r="M24" s="34">
        <f>+(L24-1)/3</f>
        <v>0.20875066666666667</v>
      </c>
      <c r="P24" s="1">
        <v>2015</v>
      </c>
      <c r="Q24" s="1">
        <v>140</v>
      </c>
      <c r="S24" s="1">
        <v>153.41999999999999</v>
      </c>
    </row>
    <row r="25" spans="1:22" ht="12.75" customHeight="1">
      <c r="A25" s="173"/>
      <c r="B25" s="173"/>
      <c r="C25" s="43" t="s">
        <v>143</v>
      </c>
      <c r="D25" s="80">
        <v>303000</v>
      </c>
      <c r="E25" s="39" t="s">
        <v>137</v>
      </c>
      <c r="F25" s="9" t="s">
        <v>211</v>
      </c>
      <c r="G25" s="32">
        <v>45548</v>
      </c>
      <c r="H25" s="32">
        <v>65050</v>
      </c>
      <c r="I25" s="32">
        <v>71165</v>
      </c>
      <c r="J25" s="32">
        <f>+'Seguim Avance Metas PDD 2015'!R25</f>
        <v>100307</v>
      </c>
      <c r="K25" s="32">
        <f>+'Seguim Avance Metas PDD 2016'!R25</f>
        <v>31459</v>
      </c>
      <c r="L25" s="32">
        <f>+SUM(G25,H25,I25,J25,K25)</f>
        <v>313529</v>
      </c>
      <c r="M25" s="34">
        <f t="shared" ref="M25:M35" si="1">+L25/D25</f>
        <v>1.0347491749174917</v>
      </c>
      <c r="P25" s="1">
        <v>2016</v>
      </c>
      <c r="Q25" s="1">
        <f>+Q24+20*5/12</f>
        <v>148.33333333333334</v>
      </c>
      <c r="S25" s="1">
        <f>+S24*1.06</f>
        <v>162.62520000000001</v>
      </c>
    </row>
    <row r="26" spans="1:22" ht="12.75" customHeight="1">
      <c r="A26" s="173"/>
      <c r="B26" s="173"/>
      <c r="C26" s="43" t="s">
        <v>144</v>
      </c>
      <c r="D26" s="80">
        <v>50</v>
      </c>
      <c r="E26" s="39" t="s">
        <v>145</v>
      </c>
      <c r="F26" s="9" t="s">
        <v>211</v>
      </c>
      <c r="G26" s="32">
        <v>1</v>
      </c>
      <c r="H26" s="32">
        <v>14</v>
      </c>
      <c r="I26" s="32">
        <v>25</v>
      </c>
      <c r="J26" s="32">
        <f>+'Seguim Avance Metas PDD 2015'!R26</f>
        <v>10</v>
      </c>
      <c r="K26" s="32">
        <f>+'Seguim Avance Metas PDD 2016'!R26</f>
        <v>0</v>
      </c>
      <c r="L26" s="32">
        <f>+SUM(G26,H26,I26,J26,K26)</f>
        <v>50</v>
      </c>
      <c r="M26" s="34">
        <f t="shared" si="1"/>
        <v>1</v>
      </c>
    </row>
    <row r="27" spans="1:22" ht="12.75" customHeight="1">
      <c r="A27" s="173"/>
      <c r="B27" s="173"/>
      <c r="C27" s="43" t="s">
        <v>185</v>
      </c>
      <c r="D27" s="80">
        <v>7</v>
      </c>
      <c r="E27" s="39" t="s">
        <v>147</v>
      </c>
      <c r="F27" s="9" t="s">
        <v>210</v>
      </c>
      <c r="G27" s="32">
        <v>1</v>
      </c>
      <c r="H27" s="32">
        <v>4</v>
      </c>
      <c r="I27" s="32">
        <v>4</v>
      </c>
      <c r="J27" s="32">
        <f>+'Seguim Avance Metas PDD 2015'!R27</f>
        <v>5</v>
      </c>
      <c r="K27" s="83">
        <f>+'Seguim Avance Metas PDD 2016'!R27</f>
        <v>0</v>
      </c>
      <c r="L27" s="32">
        <f>MAX(G27,H27,I27,J27,K27)</f>
        <v>5</v>
      </c>
      <c r="M27" s="34">
        <f t="shared" si="1"/>
        <v>0.7142857142857143</v>
      </c>
      <c r="S27" s="1">
        <f>+(1+I24)*(1+J24)*(1+K24)</f>
        <v>1.626252</v>
      </c>
      <c r="T27" s="84">
        <f>1+I24</f>
        <v>1.2785</v>
      </c>
      <c r="U27" s="1">
        <f>+T27*(1+J24)</f>
        <v>1.5342</v>
      </c>
      <c r="V27" s="1">
        <f>+U27*(1+K24)</f>
        <v>1.626252</v>
      </c>
    </row>
    <row r="28" spans="1:22" ht="12.75" customHeight="1">
      <c r="A28" s="173"/>
      <c r="B28" s="173">
        <v>783</v>
      </c>
      <c r="C28" s="7" t="s">
        <v>150</v>
      </c>
      <c r="D28" s="81">
        <v>0.499</v>
      </c>
      <c r="E28" s="39" t="s">
        <v>151</v>
      </c>
      <c r="F28" s="9" t="s">
        <v>210</v>
      </c>
      <c r="G28" s="85">
        <v>0.1</v>
      </c>
      <c r="H28" s="85">
        <v>0.16259999999999999</v>
      </c>
      <c r="I28" s="85">
        <v>0.28470000000000001</v>
      </c>
      <c r="J28" s="85">
        <f>+'Seguim Avance Metas PDD 2015'!R28</f>
        <v>0.375</v>
      </c>
      <c r="K28" s="86">
        <f>+'Seguim Avance Metas PDD 2016'!R28</f>
        <v>0.41560000000000002</v>
      </c>
      <c r="L28" s="85">
        <f>+K28</f>
        <v>0.41560000000000002</v>
      </c>
      <c r="M28" s="34">
        <f t="shared" si="1"/>
        <v>0.83286573146292586</v>
      </c>
    </row>
    <row r="29" spans="1:22" ht="12.75" customHeight="1">
      <c r="A29" s="173"/>
      <c r="B29" s="173"/>
      <c r="C29" s="43" t="s">
        <v>152</v>
      </c>
      <c r="D29" s="80">
        <v>300000</v>
      </c>
      <c r="E29" s="39" t="s">
        <v>137</v>
      </c>
      <c r="F29" s="9" t="s">
        <v>212</v>
      </c>
      <c r="G29" s="32">
        <v>0</v>
      </c>
      <c r="H29" s="32">
        <v>356561</v>
      </c>
      <c r="I29" s="32">
        <v>453413</v>
      </c>
      <c r="J29" s="32">
        <f>+'Seguim Avance Metas PDD 2015'!R29</f>
        <v>417751</v>
      </c>
      <c r="K29" s="32">
        <f>+'Seguim Avance Metas PDD 2016'!R29</f>
        <v>143520</v>
      </c>
      <c r="L29" s="32">
        <f>MAX(G29,H29,I29,J29,K29)</f>
        <v>453413</v>
      </c>
      <c r="M29" s="34">
        <f t="shared" si="1"/>
        <v>1.5113766666666666</v>
      </c>
    </row>
    <row r="30" spans="1:22" ht="12.75" customHeight="1">
      <c r="A30" s="173"/>
      <c r="B30" s="173"/>
      <c r="C30" s="43" t="s">
        <v>186</v>
      </c>
      <c r="D30" s="80">
        <v>280000</v>
      </c>
      <c r="E30" s="39" t="s">
        <v>137</v>
      </c>
      <c r="F30" s="9" t="s">
        <v>212</v>
      </c>
      <c r="G30" s="32">
        <v>277543</v>
      </c>
      <c r="H30" s="32">
        <v>489625</v>
      </c>
      <c r="I30" s="32">
        <v>437144</v>
      </c>
      <c r="J30" s="32">
        <f>+'Seguim Avance Metas PDD 2015'!R30</f>
        <v>490223</v>
      </c>
      <c r="K30" s="32">
        <f>+'Seguim Avance Metas PDD 2016'!R30</f>
        <v>129085</v>
      </c>
      <c r="L30" s="32">
        <f>MAX(G30,H30,I30,J30,K30)</f>
        <v>490223</v>
      </c>
      <c r="M30" s="34">
        <f t="shared" si="1"/>
        <v>1.7507964285714286</v>
      </c>
    </row>
    <row r="31" spans="1:22" ht="12.75" customHeight="1">
      <c r="A31" s="173"/>
      <c r="B31" s="7">
        <v>792</v>
      </c>
      <c r="C31" s="7" t="s">
        <v>158</v>
      </c>
      <c r="D31" s="80">
        <v>1</v>
      </c>
      <c r="E31" s="39" t="s">
        <v>159</v>
      </c>
      <c r="F31" s="9" t="s">
        <v>210</v>
      </c>
      <c r="G31" s="85">
        <v>0</v>
      </c>
      <c r="H31" s="85">
        <v>0</v>
      </c>
      <c r="I31" s="85">
        <v>0.2</v>
      </c>
      <c r="J31" s="85">
        <f>+'Seguim Avance Metas PDD 2015'!R31</f>
        <v>0.30000000000000004</v>
      </c>
      <c r="K31" s="86">
        <f>+'Seguim Avance Metas PDD 2016'!R31</f>
        <v>0.34</v>
      </c>
      <c r="L31" s="85">
        <f>+K31</f>
        <v>0.34</v>
      </c>
      <c r="M31" s="34">
        <f t="shared" si="1"/>
        <v>0.34</v>
      </c>
    </row>
    <row r="32" spans="1:22" ht="12.75" customHeight="1">
      <c r="A32" s="173"/>
      <c r="B32" s="7">
        <v>787</v>
      </c>
      <c r="C32" s="7" t="s">
        <v>162</v>
      </c>
      <c r="D32" s="80">
        <v>6</v>
      </c>
      <c r="E32" s="39" t="s">
        <v>163</v>
      </c>
      <c r="F32" s="9" t="s">
        <v>211</v>
      </c>
      <c r="G32" s="32">
        <v>1</v>
      </c>
      <c r="H32" s="32">
        <v>2</v>
      </c>
      <c r="I32" s="32">
        <v>1</v>
      </c>
      <c r="J32" s="32">
        <v>1</v>
      </c>
      <c r="K32" s="32">
        <f>+'Seguim Avance Metas PDD 2016'!R32</f>
        <v>0</v>
      </c>
      <c r="L32" s="32">
        <f>+SUM(G32,H32,I32,J32,K32)</f>
        <v>5</v>
      </c>
      <c r="M32" s="34">
        <f t="shared" si="1"/>
        <v>0.83333333333333337</v>
      </c>
    </row>
    <row r="33" spans="1:13" ht="12.75" customHeight="1">
      <c r="A33" s="173"/>
      <c r="B33" s="173">
        <v>944</v>
      </c>
      <c r="C33" s="7" t="s">
        <v>164</v>
      </c>
      <c r="D33" s="80">
        <v>6</v>
      </c>
      <c r="E33" s="39" t="s">
        <v>165</v>
      </c>
      <c r="F33" s="9" t="s">
        <v>212</v>
      </c>
      <c r="G33" s="32">
        <v>6</v>
      </c>
      <c r="H33" s="32">
        <v>6</v>
      </c>
      <c r="I33" s="32">
        <v>6</v>
      </c>
      <c r="J33" s="32">
        <f>+'Seguim Avance Metas PDD 2015'!R33</f>
        <v>6</v>
      </c>
      <c r="K33" s="32">
        <f>+'Seguim Avance Metas PDD 2016'!R33</f>
        <v>6</v>
      </c>
      <c r="L33" s="32">
        <f>MAX(G33,H33,I33,J33,K33)</f>
        <v>6</v>
      </c>
      <c r="M33" s="34">
        <f t="shared" si="1"/>
        <v>1</v>
      </c>
    </row>
    <row r="34" spans="1:13" ht="12.75" customHeight="1">
      <c r="A34" s="173"/>
      <c r="B34" s="173"/>
      <c r="C34" s="7" t="s">
        <v>168</v>
      </c>
      <c r="D34" s="80">
        <v>1</v>
      </c>
      <c r="E34" s="39" t="s">
        <v>169</v>
      </c>
      <c r="F34" s="9" t="s">
        <v>212</v>
      </c>
      <c r="G34" s="32">
        <v>0</v>
      </c>
      <c r="H34" s="32">
        <v>1</v>
      </c>
      <c r="I34" s="32">
        <v>1</v>
      </c>
      <c r="J34" s="32">
        <f>+'Seguim Avance Metas PDD 2015'!R34</f>
        <v>0</v>
      </c>
      <c r="K34" s="32">
        <f>+'Seguim Avance Metas PDD 2016'!R34</f>
        <v>0</v>
      </c>
      <c r="L34" s="32">
        <f>MAX(G34,H34,I34,J34,K34)</f>
        <v>1</v>
      </c>
      <c r="M34" s="34">
        <f t="shared" si="1"/>
        <v>1</v>
      </c>
    </row>
    <row r="35" spans="1:13" ht="12.75" customHeight="1">
      <c r="A35" s="173"/>
      <c r="B35" s="7">
        <v>784</v>
      </c>
      <c r="C35" s="7" t="s">
        <v>174</v>
      </c>
      <c r="D35" s="82">
        <v>1</v>
      </c>
      <c r="E35" s="39" t="s">
        <v>175</v>
      </c>
      <c r="F35" s="9" t="s">
        <v>210</v>
      </c>
      <c r="G35" s="85">
        <v>0.57999999999999996</v>
      </c>
      <c r="H35" s="85">
        <v>0.54</v>
      </c>
      <c r="I35" s="85">
        <v>0.66</v>
      </c>
      <c r="J35" s="85">
        <f>+'Seguim Avance Metas PDD 2015'!R35</f>
        <v>0.78</v>
      </c>
      <c r="K35" s="85">
        <f>+'Seguim Avance Metas PDD 2016'!R35</f>
        <v>0.81</v>
      </c>
      <c r="L35" s="85">
        <f>MAX(G35,H35,I35,J35,K35)</f>
        <v>0.81</v>
      </c>
      <c r="M35" s="34">
        <f t="shared" si="1"/>
        <v>0.81</v>
      </c>
    </row>
    <row r="36" spans="1:13" s="15" customFormat="1" ht="12.75" customHeight="1">
      <c r="A36" s="13"/>
      <c r="B36" s="13"/>
      <c r="C36" s="13"/>
      <c r="D36" s="13"/>
      <c r="E36" s="13"/>
      <c r="F36" s="14">
        <v>0.8</v>
      </c>
      <c r="G36" s="14">
        <v>0.8</v>
      </c>
      <c r="H36" s="14">
        <v>0.8</v>
      </c>
      <c r="I36" s="14">
        <v>0.8</v>
      </c>
      <c r="J36" s="14">
        <v>0.8</v>
      </c>
      <c r="K36" s="14">
        <v>0.8</v>
      </c>
      <c r="L36" s="14"/>
      <c r="M36" s="35"/>
    </row>
    <row r="37" spans="1:13" ht="30" customHeight="1">
      <c r="A37" s="174" t="s">
        <v>96</v>
      </c>
      <c r="B37" s="174"/>
      <c r="C37" s="174"/>
      <c r="D37" s="174"/>
      <c r="E37" s="174"/>
      <c r="F37" s="174"/>
      <c r="G37" s="174"/>
      <c r="H37" s="174"/>
      <c r="I37" s="174"/>
      <c r="J37" s="87"/>
      <c r="K37" s="88"/>
      <c r="L37" s="88"/>
      <c r="M37" s="88"/>
    </row>
    <row r="38" spans="1:13" ht="36.6" customHeight="1">
      <c r="A38" s="21"/>
      <c r="B38" s="21"/>
      <c r="C38" s="21"/>
      <c r="D38" s="21"/>
      <c r="E38" s="21"/>
      <c r="F38" s="21"/>
      <c r="G38" s="22"/>
      <c r="H38" s="22"/>
      <c r="I38" s="22"/>
      <c r="J38" s="36"/>
      <c r="K38" s="88"/>
      <c r="L38" s="88"/>
      <c r="M38" s="88"/>
    </row>
    <row r="39" spans="1:13" ht="36.6" customHeight="1">
      <c r="A39" s="21"/>
      <c r="B39" s="21"/>
      <c r="C39" s="21"/>
      <c r="D39" s="21"/>
      <c r="E39" s="21"/>
      <c r="F39" s="21"/>
      <c r="G39" s="22"/>
      <c r="H39" s="22"/>
      <c r="I39" s="22"/>
      <c r="J39" s="36"/>
      <c r="K39" s="7"/>
      <c r="L39" s="7"/>
      <c r="M39" s="7"/>
    </row>
    <row r="40" spans="1:13" ht="36.6" customHeight="1">
      <c r="A40" s="21"/>
      <c r="B40" s="21"/>
      <c r="C40" s="21"/>
      <c r="D40" s="21"/>
      <c r="E40" s="21"/>
      <c r="F40" s="21"/>
      <c r="G40" s="22"/>
      <c r="H40" s="22"/>
      <c r="I40" s="22"/>
      <c r="J40" s="36"/>
      <c r="K40" s="7"/>
      <c r="L40" s="7"/>
      <c r="M40" s="7"/>
    </row>
  </sheetData>
  <sheetProtection selectLockedCells="1" selectUnlockedCells="1"/>
  <mergeCells count="25">
    <mergeCell ref="A1:N3"/>
    <mergeCell ref="A4:N6"/>
    <mergeCell ref="A7:M7"/>
    <mergeCell ref="A8:M8"/>
    <mergeCell ref="A9:E9"/>
    <mergeCell ref="F9:H9"/>
    <mergeCell ref="I9:J9"/>
    <mergeCell ref="K9:M9"/>
    <mergeCell ref="A10:E10"/>
    <mergeCell ref="F10:H10"/>
    <mergeCell ref="I10:J10"/>
    <mergeCell ref="K10:M10"/>
    <mergeCell ref="A11:E11"/>
    <mergeCell ref="F11:H11"/>
    <mergeCell ref="I11:J11"/>
    <mergeCell ref="K11:M11"/>
    <mergeCell ref="A37:I37"/>
    <mergeCell ref="A13:M13"/>
    <mergeCell ref="A15:A35"/>
    <mergeCell ref="B15:B16"/>
    <mergeCell ref="B17:B18"/>
    <mergeCell ref="B19:B21"/>
    <mergeCell ref="B22:B27"/>
    <mergeCell ref="B28:B30"/>
    <mergeCell ref="B33:B34"/>
  </mergeCells>
  <dataValidations count="2">
    <dataValidation type="list" operator="equal" allowBlank="1" showErrorMessage="1" sqref="K9">
      <formula1>"EFICACIA,EFICIENCIA,EFECTIVIDAD"</formula1>
      <formula2>0</formula2>
    </dataValidation>
    <dataValidation type="list" operator="equal" allowBlank="1" showErrorMessage="1" sqref="K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10.7109375" style="1" customWidth="1"/>
    <col min="2" max="2" width="9.140625" style="1" customWidth="1"/>
    <col min="3" max="3" width="21.85546875" style="1" customWidth="1"/>
    <col min="4" max="4" width="11.5703125" style="1" customWidth="1"/>
    <col min="5" max="5" width="22.7109375" style="1" customWidth="1"/>
    <col min="6" max="6" width="22.42578125" style="1" customWidth="1"/>
    <col min="7" max="12" width="10.7109375" style="1" customWidth="1"/>
    <col min="13" max="13" width="13.7109375" style="1" customWidth="1"/>
    <col min="14" max="14" width="16.28515625" style="1" customWidth="1"/>
    <col min="15" max="15" width="16.140625" style="1" customWidth="1"/>
    <col min="16" max="16" width="2.7109375" style="1" customWidth="1"/>
    <col min="17"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89"/>
    </row>
    <row r="2" spans="1:256" s="3" customFormat="1" ht="13.9" customHeight="1">
      <c r="A2" s="179"/>
      <c r="B2" s="179"/>
      <c r="C2" s="179"/>
      <c r="D2" s="179"/>
      <c r="E2" s="179"/>
      <c r="F2" s="179"/>
      <c r="G2" s="179"/>
      <c r="H2" s="179"/>
      <c r="I2" s="179"/>
      <c r="J2" s="179"/>
      <c r="K2" s="179"/>
      <c r="L2" s="179"/>
      <c r="M2" s="179"/>
      <c r="N2" s="179"/>
      <c r="O2" s="179"/>
      <c r="P2" s="89"/>
    </row>
    <row r="3" spans="1:256" s="3" customFormat="1" ht="13.9" customHeight="1">
      <c r="A3" s="179"/>
      <c r="B3" s="179"/>
      <c r="C3" s="179"/>
      <c r="D3" s="179"/>
      <c r="E3" s="179"/>
      <c r="F3" s="179"/>
      <c r="G3" s="179"/>
      <c r="H3" s="179"/>
      <c r="I3" s="179"/>
      <c r="J3" s="179"/>
      <c r="K3" s="179"/>
      <c r="L3" s="179"/>
      <c r="M3" s="179"/>
      <c r="N3" s="179"/>
      <c r="O3" s="179"/>
      <c r="P3" s="89"/>
    </row>
    <row r="4" spans="1:256" s="3" customFormat="1" ht="13.9" customHeight="1">
      <c r="A4" s="179" t="s">
        <v>1</v>
      </c>
      <c r="B4" s="179"/>
      <c r="C4" s="179"/>
      <c r="D4" s="179"/>
      <c r="E4" s="179"/>
      <c r="F4" s="179"/>
      <c r="G4" s="179"/>
      <c r="H4" s="179"/>
      <c r="I4" s="179"/>
      <c r="J4" s="179"/>
      <c r="K4" s="179"/>
      <c r="L4" s="179"/>
      <c r="M4" s="179"/>
      <c r="N4" s="179"/>
      <c r="O4" s="179"/>
      <c r="P4" s="89"/>
    </row>
    <row r="5" spans="1:256" s="3" customFormat="1" ht="13.9" customHeight="1">
      <c r="A5" s="179"/>
      <c r="B5" s="179"/>
      <c r="C5" s="179"/>
      <c r="D5" s="179"/>
      <c r="E5" s="179"/>
      <c r="F5" s="179"/>
      <c r="G5" s="179"/>
      <c r="H5" s="179"/>
      <c r="I5" s="179"/>
      <c r="J5" s="179"/>
      <c r="K5" s="179"/>
      <c r="L5" s="179"/>
      <c r="M5" s="179"/>
      <c r="N5" s="179"/>
      <c r="O5" s="179"/>
      <c r="P5" s="89"/>
    </row>
    <row r="6" spans="1:256" s="3" customFormat="1" ht="13.9" customHeight="1">
      <c r="A6" s="179"/>
      <c r="B6" s="179"/>
      <c r="C6" s="179"/>
      <c r="D6" s="179"/>
      <c r="E6" s="179"/>
      <c r="F6" s="179"/>
      <c r="G6" s="179"/>
      <c r="H6" s="179"/>
      <c r="I6" s="179"/>
      <c r="J6" s="179"/>
      <c r="K6" s="179"/>
      <c r="L6" s="179"/>
      <c r="M6" s="179"/>
      <c r="N6" s="179"/>
      <c r="O6" s="179"/>
      <c r="P6" s="89"/>
    </row>
    <row r="7" spans="1:256" s="3" customFormat="1" ht="12.75" customHeight="1">
      <c r="A7" s="180"/>
      <c r="B7" s="180"/>
      <c r="C7" s="180"/>
      <c r="D7" s="180"/>
      <c r="E7" s="180"/>
      <c r="F7" s="180"/>
      <c r="G7" s="180"/>
      <c r="H7" s="180"/>
      <c r="I7" s="180"/>
      <c r="J7" s="180"/>
      <c r="K7" s="180"/>
      <c r="L7" s="180"/>
      <c r="M7" s="180"/>
      <c r="N7" s="180"/>
      <c r="O7" s="180"/>
    </row>
    <row r="8" spans="1:256" ht="30" customHeight="1">
      <c r="A8" s="174" t="s">
        <v>2</v>
      </c>
      <c r="B8" s="174"/>
      <c r="C8" s="174"/>
      <c r="D8" s="174"/>
      <c r="E8" s="174"/>
      <c r="F8" s="174"/>
      <c r="G8" s="174"/>
      <c r="H8" s="174"/>
      <c r="I8" s="174"/>
      <c r="J8" s="174"/>
      <c r="K8" s="174"/>
      <c r="L8" s="174"/>
      <c r="M8" s="174"/>
      <c r="N8" s="174"/>
      <c r="O8" s="174"/>
    </row>
    <row r="9" spans="1:256" ht="42" customHeight="1">
      <c r="A9" s="177" t="s">
        <v>3</v>
      </c>
      <c r="B9" s="177"/>
      <c r="C9" s="177"/>
      <c r="D9" s="197" t="s">
        <v>213</v>
      </c>
      <c r="E9" s="197"/>
      <c r="F9" s="197"/>
      <c r="G9" s="197"/>
      <c r="H9" s="197"/>
      <c r="I9" s="177" t="s">
        <v>5</v>
      </c>
      <c r="J9" s="177"/>
      <c r="K9" s="186" t="s">
        <v>111</v>
      </c>
      <c r="L9" s="186"/>
      <c r="M9" s="186"/>
      <c r="N9" s="186"/>
      <c r="O9" s="186"/>
    </row>
    <row r="10" spans="1:256" ht="42" customHeight="1">
      <c r="A10" s="177" t="s">
        <v>7</v>
      </c>
      <c r="B10" s="177"/>
      <c r="C10" s="177"/>
      <c r="D10" s="178" t="s">
        <v>8</v>
      </c>
      <c r="E10" s="178"/>
      <c r="F10" s="178"/>
      <c r="G10" s="178"/>
      <c r="H10" s="178"/>
      <c r="I10" s="177" t="s">
        <v>9</v>
      </c>
      <c r="J10" s="177"/>
      <c r="K10" s="186" t="s">
        <v>10</v>
      </c>
      <c r="L10" s="186"/>
      <c r="M10" s="186"/>
      <c r="N10" s="186"/>
      <c r="O10" s="186"/>
    </row>
    <row r="11" spans="1:256" ht="52.9" customHeight="1">
      <c r="A11" s="177" t="s">
        <v>11</v>
      </c>
      <c r="B11" s="177"/>
      <c r="C11" s="177"/>
      <c r="D11" s="197" t="s">
        <v>112</v>
      </c>
      <c r="E11" s="197"/>
      <c r="F11" s="197"/>
      <c r="G11" s="197"/>
      <c r="H11" s="197"/>
      <c r="I11" s="177" t="s">
        <v>32</v>
      </c>
      <c r="J11" s="177"/>
      <c r="K11" s="186" t="s">
        <v>33</v>
      </c>
      <c r="L11" s="186"/>
      <c r="M11" s="186"/>
      <c r="N11" s="186"/>
      <c r="O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row>
    <row r="14" spans="1:256" ht="45" customHeight="1">
      <c r="A14" s="4" t="s">
        <v>53</v>
      </c>
      <c r="B14" s="4" t="s">
        <v>114</v>
      </c>
      <c r="C14" s="6" t="s">
        <v>115</v>
      </c>
      <c r="D14" s="6" t="s">
        <v>203</v>
      </c>
      <c r="E14" s="6" t="s">
        <v>117</v>
      </c>
      <c r="F14" s="6" t="s">
        <v>208</v>
      </c>
      <c r="G14" s="6">
        <v>2012</v>
      </c>
      <c r="H14" s="4">
        <v>2013</v>
      </c>
      <c r="I14" s="4">
        <v>2014</v>
      </c>
      <c r="J14" s="4">
        <v>2015</v>
      </c>
      <c r="K14" s="4">
        <v>2016</v>
      </c>
      <c r="L14" s="4" t="s">
        <v>204</v>
      </c>
      <c r="M14" s="4" t="s">
        <v>180</v>
      </c>
      <c r="N14" s="4" t="s">
        <v>214</v>
      </c>
      <c r="O14" s="4" t="s">
        <v>215</v>
      </c>
    </row>
    <row r="15" spans="1:256" ht="15" customHeight="1">
      <c r="A15" s="173">
        <v>2015</v>
      </c>
      <c r="B15" s="173">
        <v>914</v>
      </c>
      <c r="C15" s="7" t="s">
        <v>121</v>
      </c>
      <c r="D15" s="79">
        <v>92000</v>
      </c>
      <c r="E15" s="39" t="s">
        <v>122</v>
      </c>
      <c r="F15" s="9" t="s">
        <v>210</v>
      </c>
      <c r="G15" s="34">
        <f>+'Avance Acumulado Metas PDD'!G15/$D15</f>
        <v>0</v>
      </c>
      <c r="H15" s="34">
        <f>+'Avance Acumulado Metas PDD'!H15/$D15</f>
        <v>0.34054347826086956</v>
      </c>
      <c r="I15" s="34">
        <f>+'Avance Acumulado Metas PDD'!I15/$D15</f>
        <v>0.50624999999999998</v>
      </c>
      <c r="J15" s="34">
        <f>+'Avance Acumulado Metas PDD'!J15/$D15</f>
        <v>0.86985869565217389</v>
      </c>
      <c r="K15" s="34">
        <f>+'Avance Acumulado Metas PDD'!K15/$D15</f>
        <v>0.46614130434782608</v>
      </c>
      <c r="L15" s="34">
        <f>+'Avance Acumulado Metas PDD'!L15/$D15</f>
        <v>0.46614130434782608</v>
      </c>
      <c r="M15" s="34">
        <f t="shared" ref="M15:M21" si="0">+L15/4</f>
        <v>0.11653532608695652</v>
      </c>
      <c r="N15" s="47">
        <v>0.7</v>
      </c>
      <c r="O15" s="194">
        <f>+L15*N15+L16*N16</f>
        <v>0.64504891304347822</v>
      </c>
    </row>
    <row r="16" spans="1:256" ht="15" customHeight="1">
      <c r="A16" s="173"/>
      <c r="B16" s="173"/>
      <c r="C16" s="7" t="s">
        <v>123</v>
      </c>
      <c r="D16" s="79">
        <v>80</v>
      </c>
      <c r="E16" s="39" t="s">
        <v>124</v>
      </c>
      <c r="F16" s="9" t="s">
        <v>211</v>
      </c>
      <c r="G16" s="34">
        <f>+'Avance Acumulado Metas PDD'!G16/$D16</f>
        <v>0</v>
      </c>
      <c r="H16" s="34">
        <f>+'Avance Acumulado Metas PDD'!H16/$D16</f>
        <v>0.13750000000000001</v>
      </c>
      <c r="I16" s="34">
        <f>+'Avance Acumulado Metas PDD'!I16/$D16</f>
        <v>0.05</v>
      </c>
      <c r="J16" s="34">
        <f>+'Avance Acumulado Metas PDD'!J16/$D16</f>
        <v>1.0625</v>
      </c>
      <c r="K16" s="34">
        <f>+'Avance Acumulado Metas PDD'!K16/$D16</f>
        <v>1.0625</v>
      </c>
      <c r="L16" s="34">
        <f>+'Avance Acumulado Metas PDD'!L16/$D16</f>
        <v>1.0625</v>
      </c>
      <c r="M16" s="34">
        <f t="shared" si="0"/>
        <v>0.265625</v>
      </c>
      <c r="N16" s="47">
        <v>0.30000000000000004</v>
      </c>
      <c r="O16" s="194"/>
    </row>
    <row r="17" spans="1:18" ht="15" customHeight="1">
      <c r="A17" s="173"/>
      <c r="B17" s="173">
        <v>915</v>
      </c>
      <c r="C17" s="7" t="s">
        <v>125</v>
      </c>
      <c r="D17" s="79">
        <v>65216</v>
      </c>
      <c r="E17" s="39" t="s">
        <v>126</v>
      </c>
      <c r="F17" s="9" t="s">
        <v>210</v>
      </c>
      <c r="G17" s="34">
        <f>+'Avance Acumulado Metas PDD'!G17/$D17</f>
        <v>0</v>
      </c>
      <c r="H17" s="34">
        <f>+'Avance Acumulado Metas PDD'!H17/$D17</f>
        <v>0.21827465652600589</v>
      </c>
      <c r="I17" s="34">
        <f>+'Avance Acumulado Metas PDD'!I17/$D17</f>
        <v>0.55520117762512267</v>
      </c>
      <c r="J17" s="34">
        <f>+'Avance Acumulado Metas PDD'!J17/$D17</f>
        <v>0.90407262021589796</v>
      </c>
      <c r="K17" s="34">
        <f>+'Avance Acumulado Metas PDD'!K17/$D17</f>
        <v>0.75035267419038276</v>
      </c>
      <c r="L17" s="34">
        <f>+'Avance Acumulado Metas PDD'!L17/$D17</f>
        <v>0.75035267419038276</v>
      </c>
      <c r="M17" s="34">
        <f t="shared" si="0"/>
        <v>0.18758816854759569</v>
      </c>
      <c r="N17" s="34">
        <v>0.7</v>
      </c>
      <c r="O17" s="194">
        <f>+L17*N17+L18*N18</f>
        <v>0.84524687193326797</v>
      </c>
    </row>
    <row r="18" spans="1:18" ht="30" customHeight="1">
      <c r="A18" s="173"/>
      <c r="B18" s="173"/>
      <c r="C18" s="7" t="s">
        <v>127</v>
      </c>
      <c r="D18" s="79">
        <v>150</v>
      </c>
      <c r="E18" s="39" t="s">
        <v>128</v>
      </c>
      <c r="F18" s="9" t="s">
        <v>211</v>
      </c>
      <c r="G18" s="34">
        <f>+'Avance Acumulado Metas PDD'!G18/$D18</f>
        <v>0</v>
      </c>
      <c r="H18" s="34">
        <f>+'Avance Acumulado Metas PDD'!H18/$D18</f>
        <v>0.27333333333333332</v>
      </c>
      <c r="I18" s="34">
        <f>+'Avance Acumulado Metas PDD'!I18/$D18</f>
        <v>0.27333333333333332</v>
      </c>
      <c r="J18" s="34">
        <f>+'Avance Acumulado Metas PDD'!J18/$D18</f>
        <v>0.28000000000000003</v>
      </c>
      <c r="K18" s="34">
        <f>+'Avance Acumulado Metas PDD'!K18/$D18</f>
        <v>0.24</v>
      </c>
      <c r="L18" s="34">
        <f>+'Avance Acumulado Metas PDD'!L18/$D18</f>
        <v>1.0666666666666667</v>
      </c>
      <c r="M18" s="34">
        <f t="shared" si="0"/>
        <v>0.26666666666666666</v>
      </c>
      <c r="N18" s="34">
        <v>0.30000000000000004</v>
      </c>
      <c r="O18" s="194"/>
    </row>
    <row r="19" spans="1:18" ht="15" customHeight="1">
      <c r="A19" s="173"/>
      <c r="B19" s="173">
        <v>772</v>
      </c>
      <c r="C19" s="7" t="s">
        <v>129</v>
      </c>
      <c r="D19" s="79">
        <v>6</v>
      </c>
      <c r="E19" s="39" t="s">
        <v>130</v>
      </c>
      <c r="F19" s="9" t="s">
        <v>210</v>
      </c>
      <c r="G19" s="34">
        <f>+'Avance Acumulado Metas PDD'!G19/$D19</f>
        <v>0</v>
      </c>
      <c r="H19" s="34">
        <f>+'Avance Acumulado Metas PDD'!H19/$D19</f>
        <v>0.33333333333333331</v>
      </c>
      <c r="I19" s="34">
        <f>+'Avance Acumulado Metas PDD'!I19/$D19</f>
        <v>0.5</v>
      </c>
      <c r="J19" s="34">
        <f>+'Avance Acumulado Metas PDD'!J19/$D19</f>
        <v>0.83333333333333337</v>
      </c>
      <c r="K19" s="34">
        <f>+'Avance Acumulado Metas PDD'!K19/$D19</f>
        <v>0.33333333333333331</v>
      </c>
      <c r="L19" s="34">
        <f>+'Avance Acumulado Metas PDD'!L19/$D19</f>
        <v>0.33333333333333331</v>
      </c>
      <c r="M19" s="34">
        <f t="shared" si="0"/>
        <v>8.3333333333333329E-2</v>
      </c>
      <c r="N19" s="34">
        <v>0.4</v>
      </c>
      <c r="O19" s="194">
        <f>+L19*N19+L20*N20+L21*N21</f>
        <v>0.76833333333333331</v>
      </c>
    </row>
    <row r="20" spans="1:18" ht="15" customHeight="1">
      <c r="A20" s="173"/>
      <c r="B20" s="173"/>
      <c r="C20" s="7" t="s">
        <v>131</v>
      </c>
      <c r="D20" s="79">
        <v>100</v>
      </c>
      <c r="E20" s="39" t="s">
        <v>132</v>
      </c>
      <c r="F20" s="9" t="s">
        <v>211</v>
      </c>
      <c r="G20" s="34">
        <f>+'Avance Acumulado Metas PDD'!G20/$D20</f>
        <v>0</v>
      </c>
      <c r="H20" s="34">
        <f>+'Avance Acumulado Metas PDD'!H20/$D20</f>
        <v>0.25</v>
      </c>
      <c r="I20" s="34">
        <f>+'Avance Acumulado Metas PDD'!I20/$D20</f>
        <v>0.25</v>
      </c>
      <c r="J20" s="34">
        <f>+'Avance Acumulado Metas PDD'!J20/$D20</f>
        <v>0.56000000000000005</v>
      </c>
      <c r="K20" s="34">
        <f>+'Avance Acumulado Metas PDD'!K20/$D20</f>
        <v>0.05</v>
      </c>
      <c r="L20" s="34">
        <f>+'Avance Acumulado Metas PDD'!L20/$D20</f>
        <v>1.1100000000000001</v>
      </c>
      <c r="M20" s="34">
        <f t="shared" si="0"/>
        <v>0.27750000000000002</v>
      </c>
      <c r="N20" s="34">
        <v>0.5</v>
      </c>
      <c r="O20" s="194"/>
    </row>
    <row r="21" spans="1:18" ht="15" customHeight="1">
      <c r="A21" s="173"/>
      <c r="B21" s="173"/>
      <c r="C21" s="7" t="s">
        <v>131</v>
      </c>
      <c r="D21" s="79">
        <v>5</v>
      </c>
      <c r="E21" s="39" t="s">
        <v>133</v>
      </c>
      <c r="F21" s="9" t="s">
        <v>211</v>
      </c>
      <c r="G21" s="34">
        <f>+'Avance Acumulado Metas PDD'!G21/$D21</f>
        <v>0</v>
      </c>
      <c r="H21" s="34">
        <f>+'Avance Acumulado Metas PDD'!H21/$D21</f>
        <v>0.2</v>
      </c>
      <c r="I21" s="34">
        <f>+'Avance Acumulado Metas PDD'!I21/$D21</f>
        <v>0.2</v>
      </c>
      <c r="J21" s="34">
        <f>+'Avance Acumulado Metas PDD'!J21/$D21</f>
        <v>0.4</v>
      </c>
      <c r="K21" s="34">
        <f>+'Avance Acumulado Metas PDD'!K21/$D21</f>
        <v>0</v>
      </c>
      <c r="L21" s="34">
        <f>+'Avance Acumulado Metas PDD'!L21/$D21</f>
        <v>0.8</v>
      </c>
      <c r="M21" s="34">
        <f t="shared" si="0"/>
        <v>0.2</v>
      </c>
      <c r="N21" s="34">
        <v>0.1</v>
      </c>
      <c r="O21" s="194"/>
    </row>
    <row r="22" spans="1:18" ht="15" customHeight="1">
      <c r="A22" s="173"/>
      <c r="B22" s="173">
        <v>795</v>
      </c>
      <c r="C22" s="7" t="s">
        <v>134</v>
      </c>
      <c r="D22" s="80">
        <v>1140000</v>
      </c>
      <c r="E22" s="39" t="s">
        <v>135</v>
      </c>
      <c r="F22" s="9" t="s">
        <v>212</v>
      </c>
      <c r="G22" s="34">
        <f>+'Avance Acumulado Metas PDD'!G22/$D22</f>
        <v>0.92278157894736845</v>
      </c>
      <c r="H22" s="34">
        <f>+'Avance Acumulado Metas PDD'!H22/$D22</f>
        <v>0.91930789473684216</v>
      </c>
      <c r="I22" s="34">
        <f>+'Avance Acumulado Metas PDD'!I22/$D22</f>
        <v>1.4742500000000001</v>
      </c>
      <c r="J22" s="34">
        <f>+'Avance Acumulado Metas PDD'!J22/$D22</f>
        <v>1.5249131578947368</v>
      </c>
      <c r="K22" s="34">
        <f>+'Avance Acumulado Metas PDD'!K22/$D22</f>
        <v>0.24367280701754385</v>
      </c>
      <c r="L22" s="34">
        <f>+'Avance Acumulado Metas PDD'!L22/$D22</f>
        <v>1.5249131578947368</v>
      </c>
      <c r="M22" s="34">
        <f>+L22/5</f>
        <v>0.30498263157894734</v>
      </c>
      <c r="N22" s="34">
        <v>0.2</v>
      </c>
      <c r="O22" s="194">
        <f>+L22*N22+L23*N23+L25*N25+L26*N26+L27*N27+L24*N24</f>
        <v>1.1851025387150718</v>
      </c>
    </row>
    <row r="23" spans="1:18" ht="15" customHeight="1">
      <c r="A23" s="173"/>
      <c r="B23" s="173"/>
      <c r="C23" s="7" t="s">
        <v>131</v>
      </c>
      <c r="D23" s="80">
        <v>2486</v>
      </c>
      <c r="E23" s="39" t="s">
        <v>140</v>
      </c>
      <c r="F23" s="9" t="s">
        <v>211</v>
      </c>
      <c r="G23" s="34">
        <f>+'Avance Acumulado Metas PDD'!G23/$D23</f>
        <v>0.18222043443282382</v>
      </c>
      <c r="H23" s="34">
        <f>+'Avance Acumulado Metas PDD'!H23/$D23</f>
        <v>0.26226870474658087</v>
      </c>
      <c r="I23" s="34">
        <f>+'Avance Acumulado Metas PDD'!I23/$D23</f>
        <v>0.23089300080450523</v>
      </c>
      <c r="J23" s="34">
        <f>+'Avance Acumulado Metas PDD'!J23/$D23</f>
        <v>0.31415929203539822</v>
      </c>
      <c r="K23" s="34">
        <f>+'Avance Acumulado Metas PDD'!K23/$D23</f>
        <v>4.9477071600965407E-2</v>
      </c>
      <c r="L23" s="34">
        <f>+'Avance Acumulado Metas PDD'!L23/$D23</f>
        <v>1.0390185036202735</v>
      </c>
      <c r="M23" s="34">
        <f>+L23/5</f>
        <v>0.20780370072405469</v>
      </c>
      <c r="N23" s="34">
        <v>0.2</v>
      </c>
      <c r="O23" s="194"/>
    </row>
    <row r="24" spans="1:18" ht="12.75" customHeight="1">
      <c r="A24" s="173"/>
      <c r="B24" s="173"/>
      <c r="C24" s="7" t="s">
        <v>206</v>
      </c>
      <c r="D24" s="81">
        <v>0.2</v>
      </c>
      <c r="E24" s="39" t="s">
        <v>207</v>
      </c>
      <c r="F24" s="9" t="s">
        <v>212</v>
      </c>
      <c r="G24" s="34">
        <f>+'Avance Acumulado Metas PDD'!G24/$D24</f>
        <v>0</v>
      </c>
      <c r="H24" s="34">
        <f>+'Avance Acumulado Metas PDD'!H24/$D24</f>
        <v>0</v>
      </c>
      <c r="I24" s="34">
        <f>+'Avance Acumulado Metas PDD'!I24/$D24</f>
        <v>1.3925000000000001</v>
      </c>
      <c r="J24" s="34">
        <f>+('Avance Acumulado Metas PDD'!J24+'Avance Acumulado Metas PDD'!I24)/(2*'Avance Acumulado Metas PDD'!D24)</f>
        <v>1.19625</v>
      </c>
      <c r="K24" s="34">
        <f>+('Avance Acumulado Metas PDD'!I24+'Avance Acumulado Metas PDD'!J24+'Avance Acumulado Metas PDD'!K24)/(3*'Avance Acumulado Metas PDD'!D24)</f>
        <v>0.89749999999999985</v>
      </c>
      <c r="L24" s="34">
        <f>+'Avance Acumulado Metas PDD'!L24</f>
        <v>1.626252</v>
      </c>
      <c r="M24" s="34">
        <f>+(L24-1)/3</f>
        <v>0.20875066666666667</v>
      </c>
      <c r="N24" s="34">
        <v>0.15</v>
      </c>
      <c r="O24" s="194"/>
      <c r="R24" s="1">
        <f>+(1+I24)*(1+J24)*(1+K24)</f>
        <v>9.9704671171874999</v>
      </c>
    </row>
    <row r="25" spans="1:18" ht="12.75" customHeight="1">
      <c r="A25" s="173"/>
      <c r="B25" s="173"/>
      <c r="C25" s="43" t="s">
        <v>143</v>
      </c>
      <c r="D25" s="80">
        <v>303000</v>
      </c>
      <c r="E25" s="39" t="s">
        <v>137</v>
      </c>
      <c r="F25" s="9" t="s">
        <v>211</v>
      </c>
      <c r="G25" s="34">
        <f>+'Avance Acumulado Metas PDD'!G25/$D25</f>
        <v>0.15032343234323434</v>
      </c>
      <c r="H25" s="34">
        <f>+'Avance Acumulado Metas PDD'!H25/$D25</f>
        <v>0.21468646864686469</v>
      </c>
      <c r="I25" s="34">
        <f>+'Avance Acumulado Metas PDD'!I25/$D25</f>
        <v>0.23486798679867987</v>
      </c>
      <c r="J25" s="34">
        <f>+'Avance Acumulado Metas PDD'!J25/$D25</f>
        <v>0.33104620462046203</v>
      </c>
      <c r="K25" s="34">
        <f>+'Avance Acumulado Metas PDD'!K25/$D25</f>
        <v>0.10382508250825083</v>
      </c>
      <c r="L25" s="34">
        <f>+'Avance Acumulado Metas PDD'!L25/$D25</f>
        <v>1.0347491749174917</v>
      </c>
      <c r="M25" s="34">
        <f>+L25/5</f>
        <v>0.20694983498349834</v>
      </c>
      <c r="N25" s="34">
        <v>0.2</v>
      </c>
      <c r="O25" s="194"/>
    </row>
    <row r="26" spans="1:18" ht="12.75" customHeight="1">
      <c r="A26" s="173"/>
      <c r="B26" s="173"/>
      <c r="C26" s="43" t="s">
        <v>144</v>
      </c>
      <c r="D26" s="80">
        <v>50</v>
      </c>
      <c r="E26" s="39" t="s">
        <v>145</v>
      </c>
      <c r="F26" s="9" t="s">
        <v>211</v>
      </c>
      <c r="G26" s="34">
        <f>+'Avance Acumulado Metas PDD'!G26/$D26</f>
        <v>0.02</v>
      </c>
      <c r="H26" s="34">
        <f>+'Avance Acumulado Metas PDD'!H26/$D26</f>
        <v>0.28000000000000003</v>
      </c>
      <c r="I26" s="34">
        <f>+'Avance Acumulado Metas PDD'!I26/$D26</f>
        <v>0.5</v>
      </c>
      <c r="J26" s="34">
        <f>+'Avance Acumulado Metas PDD'!J26/$D26</f>
        <v>0.2</v>
      </c>
      <c r="K26" s="34">
        <f>+'Avance Acumulado Metas PDD'!K26/$D26</f>
        <v>0</v>
      </c>
      <c r="L26" s="34">
        <f>+'Avance Acumulado Metas PDD'!L26/$D26</f>
        <v>1</v>
      </c>
      <c r="M26" s="34">
        <f>+L26/4</f>
        <v>0.25</v>
      </c>
      <c r="N26" s="34">
        <v>0.15</v>
      </c>
      <c r="O26" s="194"/>
    </row>
    <row r="27" spans="1:18" ht="12.75" customHeight="1">
      <c r="A27" s="173"/>
      <c r="B27" s="173"/>
      <c r="C27" s="43" t="s">
        <v>185</v>
      </c>
      <c r="D27" s="80">
        <v>7</v>
      </c>
      <c r="E27" s="39" t="s">
        <v>147</v>
      </c>
      <c r="F27" s="9" t="s">
        <v>210</v>
      </c>
      <c r="G27" s="34">
        <f>+'Avance Acumulado Metas PDD'!G27/$D27</f>
        <v>0.14285714285714285</v>
      </c>
      <c r="H27" s="34">
        <f>+'Avance Acumulado Metas PDD'!H27/$D27</f>
        <v>0.5714285714285714</v>
      </c>
      <c r="I27" s="34">
        <f>+'Avance Acumulado Metas PDD'!I27/$D27</f>
        <v>0.5714285714285714</v>
      </c>
      <c r="J27" s="34">
        <f>+'Avance Acumulado Metas PDD'!J27/$D27</f>
        <v>0.7142857142857143</v>
      </c>
      <c r="K27" s="34">
        <f>+'Avance Acumulado Metas PDD'!K27/$D27</f>
        <v>0</v>
      </c>
      <c r="L27" s="34">
        <f>+'Avance Acumulado Metas PDD'!L27/$D27</f>
        <v>0.7142857142857143</v>
      </c>
      <c r="M27" s="34">
        <f>+L27/5</f>
        <v>0.14285714285714285</v>
      </c>
      <c r="N27" s="34">
        <v>0.1</v>
      </c>
      <c r="O27" s="194"/>
    </row>
    <row r="28" spans="1:18" ht="12.75" customHeight="1">
      <c r="A28" s="173"/>
      <c r="B28" s="173">
        <v>783</v>
      </c>
      <c r="C28" s="7" t="s">
        <v>150</v>
      </c>
      <c r="D28" s="81">
        <v>0.499</v>
      </c>
      <c r="E28" s="39" t="s">
        <v>151</v>
      </c>
      <c r="F28" s="9" t="s">
        <v>210</v>
      </c>
      <c r="G28" s="34">
        <f>+'Avance Acumulado Metas PDD'!G28/$D28</f>
        <v>0.20040080160320642</v>
      </c>
      <c r="H28" s="34">
        <f>+'Avance Acumulado Metas PDD'!H28/$D28</f>
        <v>0.32585170340681363</v>
      </c>
      <c r="I28" s="34">
        <f>+'Avance Acumulado Metas PDD'!I28/$D28</f>
        <v>0.57054108216432864</v>
      </c>
      <c r="J28" s="34">
        <f>+'Avance Acumulado Metas PDD'!J28/$D28</f>
        <v>0.75150300601202402</v>
      </c>
      <c r="K28" s="34">
        <f>+'Avance Acumulado Metas PDD'!K28/$D28</f>
        <v>0.83286573146292586</v>
      </c>
      <c r="L28" s="34">
        <f>+'Avance Acumulado Metas PDD'!L28/$D28</f>
        <v>0.83286573146292586</v>
      </c>
      <c r="M28" s="34">
        <f>+L28/5</f>
        <v>0.16657314629258518</v>
      </c>
      <c r="N28" s="34">
        <v>0.2</v>
      </c>
      <c r="O28" s="194">
        <f>+L28*N28+L29*N29+L30*N30</f>
        <v>1.4834133724830614</v>
      </c>
    </row>
    <row r="29" spans="1:18" ht="12.75" customHeight="1">
      <c r="A29" s="173"/>
      <c r="B29" s="173"/>
      <c r="C29" s="43" t="s">
        <v>152</v>
      </c>
      <c r="D29" s="80">
        <v>300000</v>
      </c>
      <c r="E29" s="39" t="s">
        <v>137</v>
      </c>
      <c r="F29" s="9" t="s">
        <v>212</v>
      </c>
      <c r="G29" s="34">
        <f>+'Avance Acumulado Metas PDD'!G29/$D29</f>
        <v>0</v>
      </c>
      <c r="H29" s="34">
        <f>+'Avance Acumulado Metas PDD'!H29/$D29</f>
        <v>1.1885366666666666</v>
      </c>
      <c r="I29" s="34">
        <f>+'Avance Acumulado Metas PDD'!I29/$D29</f>
        <v>1.5113766666666666</v>
      </c>
      <c r="J29" s="34">
        <f>+'Avance Acumulado Metas PDD'!J29/$D29</f>
        <v>1.3925033333333334</v>
      </c>
      <c r="K29" s="34">
        <f>+'Avance Acumulado Metas PDD'!K29/$D29</f>
        <v>0.47839999999999999</v>
      </c>
      <c r="L29" s="34">
        <f>+'Avance Acumulado Metas PDD'!L29/$D29</f>
        <v>1.5113766666666666</v>
      </c>
      <c r="M29" s="34">
        <f>+L29/5</f>
        <v>0.30227533333333334</v>
      </c>
      <c r="N29" s="34">
        <v>0.35</v>
      </c>
      <c r="O29" s="194"/>
    </row>
    <row r="30" spans="1:18" ht="12.75" customHeight="1">
      <c r="A30" s="173"/>
      <c r="B30" s="173"/>
      <c r="C30" s="43" t="s">
        <v>186</v>
      </c>
      <c r="D30" s="80">
        <v>280000</v>
      </c>
      <c r="E30" s="39" t="s">
        <v>137</v>
      </c>
      <c r="F30" s="9" t="s">
        <v>212</v>
      </c>
      <c r="G30" s="34">
        <f>+'Avance Acumulado Metas PDD'!G30/$D30</f>
        <v>0.99122500000000002</v>
      </c>
      <c r="H30" s="34">
        <f>+'Avance Acumulado Metas PDD'!H30/$D30</f>
        <v>1.7486607142857142</v>
      </c>
      <c r="I30" s="34">
        <f>+'Avance Acumulado Metas PDD'!I30/$D30</f>
        <v>1.5612285714285714</v>
      </c>
      <c r="J30" s="34">
        <f>+'Avance Acumulado Metas PDD'!J30/$D30</f>
        <v>1.7507964285714286</v>
      </c>
      <c r="K30" s="34">
        <f>+'Avance Acumulado Metas PDD'!K30/$D30</f>
        <v>0.46101785714285715</v>
      </c>
      <c r="L30" s="34">
        <f>+'Avance Acumulado Metas PDD'!L30/$D30</f>
        <v>1.7507964285714286</v>
      </c>
      <c r="M30" s="34">
        <f>+L30/5</f>
        <v>0.35015928571428573</v>
      </c>
      <c r="N30" s="34">
        <v>0.45</v>
      </c>
      <c r="O30" s="194"/>
    </row>
    <row r="31" spans="1:18" ht="12.75" customHeight="1">
      <c r="A31" s="173"/>
      <c r="B31" s="7">
        <v>792</v>
      </c>
      <c r="C31" s="7" t="s">
        <v>158</v>
      </c>
      <c r="D31" s="80">
        <v>1</v>
      </c>
      <c r="E31" s="39" t="s">
        <v>159</v>
      </c>
      <c r="F31" s="9" t="s">
        <v>210</v>
      </c>
      <c r="G31" s="34">
        <f>+'Avance Acumulado Metas PDD'!G31/$D31</f>
        <v>0</v>
      </c>
      <c r="H31" s="34">
        <f>+'Avance Acumulado Metas PDD'!H31/$D31</f>
        <v>0</v>
      </c>
      <c r="I31" s="34">
        <f>+'Avance Acumulado Metas PDD'!I31/$D31</f>
        <v>0.2</v>
      </c>
      <c r="J31" s="34">
        <f>+'Avance Acumulado Metas PDD'!J31/$D31</f>
        <v>0.30000000000000004</v>
      </c>
      <c r="K31" s="34">
        <f>+'Avance Acumulado Metas PDD'!K31/$D31</f>
        <v>0.34</v>
      </c>
      <c r="L31" s="34">
        <f>+'Avance Acumulado Metas PDD'!L31/$D31</f>
        <v>0.34</v>
      </c>
      <c r="M31" s="34">
        <f>+L31/5</f>
        <v>6.8000000000000005E-2</v>
      </c>
      <c r="N31" s="34">
        <v>1</v>
      </c>
      <c r="O31" s="34">
        <f>+L31*N31</f>
        <v>0.34</v>
      </c>
    </row>
    <row r="32" spans="1:18" ht="12.75" customHeight="1">
      <c r="A32" s="173"/>
      <c r="B32" s="7">
        <v>787</v>
      </c>
      <c r="C32" s="7" t="s">
        <v>162</v>
      </c>
      <c r="D32" s="80">
        <v>6</v>
      </c>
      <c r="E32" s="39" t="s">
        <v>163</v>
      </c>
      <c r="F32" s="9" t="s">
        <v>211</v>
      </c>
      <c r="G32" s="34">
        <f>+'Avance Acumulado Metas PDD'!G32/$D32</f>
        <v>0.16666666666666666</v>
      </c>
      <c r="H32" s="34">
        <f>+'Avance Acumulado Metas PDD'!H32/$D32</f>
        <v>0.33333333333333331</v>
      </c>
      <c r="I32" s="34">
        <f>+'Avance Acumulado Metas PDD'!I32/$D32</f>
        <v>0.16666666666666666</v>
      </c>
      <c r="J32" s="34">
        <f>+'Avance Acumulado Metas PDD'!J32/$D32</f>
        <v>0.16666666666666666</v>
      </c>
      <c r="K32" s="34">
        <f>+'Avance Acumulado Metas PDD'!K32/$D32</f>
        <v>0</v>
      </c>
      <c r="L32" s="34">
        <f>+'Avance Acumulado Metas PDD'!L32/$D32</f>
        <v>0.83333333333333337</v>
      </c>
      <c r="M32" s="34">
        <f>+L32/4</f>
        <v>0.20833333333333334</v>
      </c>
      <c r="N32" s="34">
        <v>1</v>
      </c>
      <c r="O32" s="34">
        <f>+L32*N32</f>
        <v>0.83333333333333337</v>
      </c>
    </row>
    <row r="33" spans="1:15" ht="12.75" customHeight="1">
      <c r="A33" s="173"/>
      <c r="B33" s="173">
        <v>944</v>
      </c>
      <c r="C33" s="7" t="s">
        <v>164</v>
      </c>
      <c r="D33" s="80">
        <v>6</v>
      </c>
      <c r="E33" s="39" t="s">
        <v>165</v>
      </c>
      <c r="F33" s="9" t="s">
        <v>212</v>
      </c>
      <c r="G33" s="34">
        <f>+'Avance Acumulado Metas PDD'!G33/$D33</f>
        <v>1</v>
      </c>
      <c r="H33" s="34">
        <f>+'Avance Acumulado Metas PDD'!H33/$D33</f>
        <v>1</v>
      </c>
      <c r="I33" s="34">
        <f>+'Avance Acumulado Metas PDD'!I33/$D33</f>
        <v>1</v>
      </c>
      <c r="J33" s="34">
        <f>+'Avance Acumulado Metas PDD'!J33/$D33</f>
        <v>1</v>
      </c>
      <c r="K33" s="34">
        <f>+'Avance Acumulado Metas PDD'!K33/$D33</f>
        <v>1</v>
      </c>
      <c r="L33" s="34">
        <f>+'Avance Acumulado Metas PDD'!L33/$D33</f>
        <v>1</v>
      </c>
      <c r="M33" s="34">
        <f>+L33/5</f>
        <v>0.2</v>
      </c>
      <c r="N33" s="34">
        <v>0.8</v>
      </c>
      <c r="O33" s="194">
        <f>+L33*N33+L34*N34</f>
        <v>1</v>
      </c>
    </row>
    <row r="34" spans="1:15" ht="12.75" customHeight="1">
      <c r="A34" s="173"/>
      <c r="B34" s="173"/>
      <c r="C34" s="7" t="s">
        <v>168</v>
      </c>
      <c r="D34" s="80">
        <v>1</v>
      </c>
      <c r="E34" s="39" t="s">
        <v>169</v>
      </c>
      <c r="F34" s="9" t="s">
        <v>212</v>
      </c>
      <c r="G34" s="34">
        <f>+'Avance Acumulado Metas PDD'!G34/$D34</f>
        <v>0</v>
      </c>
      <c r="H34" s="34">
        <f>+'Avance Acumulado Metas PDD'!H34/$D34</f>
        <v>1</v>
      </c>
      <c r="I34" s="34">
        <f>+'Avance Acumulado Metas PDD'!I34/$D34</f>
        <v>1</v>
      </c>
      <c r="J34" s="34">
        <f>+'Avance Acumulado Metas PDD'!J34/$D34</f>
        <v>0</v>
      </c>
      <c r="K34" s="34">
        <f>+'Avance Acumulado Metas PDD'!K34/$D34</f>
        <v>0</v>
      </c>
      <c r="L34" s="34">
        <f>+'Avance Acumulado Metas PDD'!L34/$D34</f>
        <v>1</v>
      </c>
      <c r="M34" s="34">
        <f>+L34/4</f>
        <v>0.25</v>
      </c>
      <c r="N34" s="34">
        <v>0.2</v>
      </c>
      <c r="O34" s="194"/>
    </row>
    <row r="35" spans="1:15" ht="12.75" customHeight="1">
      <c r="A35" s="173"/>
      <c r="B35" s="7">
        <v>784</v>
      </c>
      <c r="C35" s="7" t="s">
        <v>174</v>
      </c>
      <c r="D35" s="82">
        <v>1</v>
      </c>
      <c r="E35" s="39" t="s">
        <v>175</v>
      </c>
      <c r="F35" s="9" t="s">
        <v>210</v>
      </c>
      <c r="G35" s="34">
        <f>+'Avance Acumulado Metas PDD'!G35/$D35</f>
        <v>0.57999999999999996</v>
      </c>
      <c r="H35" s="34">
        <f>+'Avance Acumulado Metas PDD'!H35/$D35</f>
        <v>0.54</v>
      </c>
      <c r="I35" s="34">
        <f>+'Avance Acumulado Metas PDD'!I35/$D35</f>
        <v>0.66</v>
      </c>
      <c r="J35" s="34">
        <f>+'Avance Acumulado Metas PDD'!J35/$D35</f>
        <v>0.78</v>
      </c>
      <c r="K35" s="34">
        <f>+'Avance Acumulado Metas PDD'!K35/$D35</f>
        <v>0.81</v>
      </c>
      <c r="L35" s="34">
        <f>+'Avance Acumulado Metas PDD'!L35/$D35</f>
        <v>0.81</v>
      </c>
      <c r="M35" s="34">
        <f>+L35/5</f>
        <v>0.16200000000000001</v>
      </c>
      <c r="N35" s="34">
        <v>1</v>
      </c>
      <c r="O35" s="34">
        <f>+L35*N35</f>
        <v>0.81</v>
      </c>
    </row>
    <row r="36" spans="1:15" s="15" customFormat="1" ht="12.75" customHeight="1">
      <c r="A36" s="13"/>
      <c r="B36" s="13"/>
      <c r="C36" s="13"/>
      <c r="D36" s="13"/>
      <c r="E36" s="13"/>
      <c r="F36" s="14">
        <v>0.8</v>
      </c>
      <c r="G36" s="14"/>
      <c r="H36" s="14">
        <v>0.8</v>
      </c>
      <c r="I36" s="14">
        <v>0.8</v>
      </c>
      <c r="J36" s="14">
        <v>0.8</v>
      </c>
      <c r="K36" s="14">
        <v>0.8</v>
      </c>
      <c r="L36" s="14"/>
      <c r="M36" s="14"/>
      <c r="N36" s="14"/>
      <c r="O36" s="35"/>
    </row>
    <row r="37" spans="1:15" ht="30" customHeight="1">
      <c r="A37" s="174" t="s">
        <v>96</v>
      </c>
      <c r="B37" s="174"/>
      <c r="C37" s="174"/>
      <c r="D37" s="174"/>
      <c r="E37" s="174"/>
      <c r="F37" s="174"/>
      <c r="G37" s="174"/>
      <c r="H37" s="174"/>
      <c r="I37" s="174"/>
      <c r="J37" s="90"/>
      <c r="K37" s="7"/>
      <c r="L37" s="7"/>
      <c r="M37" s="7"/>
      <c r="N37" s="7"/>
      <c r="O37" s="7"/>
    </row>
    <row r="38" spans="1:15" ht="36.6" customHeight="1">
      <c r="A38" s="21"/>
      <c r="B38" s="21"/>
      <c r="C38" s="21"/>
      <c r="D38" s="21"/>
      <c r="E38" s="21"/>
      <c r="F38" s="21"/>
      <c r="G38" s="21"/>
      <c r="H38" s="22"/>
      <c r="I38" s="22"/>
      <c r="J38" s="36"/>
      <c r="K38" s="7"/>
      <c r="L38" s="7"/>
      <c r="M38" s="7"/>
      <c r="N38" s="7"/>
      <c r="O38" s="7"/>
    </row>
    <row r="39" spans="1:15" ht="36.6" customHeight="1">
      <c r="A39" s="21"/>
      <c r="B39" s="21"/>
      <c r="C39" s="21"/>
      <c r="D39" s="21"/>
      <c r="E39" s="21"/>
      <c r="F39" s="21"/>
      <c r="G39" s="21"/>
      <c r="H39" s="22"/>
      <c r="I39" s="22"/>
      <c r="J39" s="36"/>
      <c r="K39" s="7"/>
      <c r="L39" s="7"/>
      <c r="M39" s="7"/>
      <c r="N39" s="7"/>
      <c r="O39" s="7"/>
    </row>
    <row r="40" spans="1:15" ht="36.6" customHeight="1">
      <c r="A40" s="21"/>
      <c r="B40" s="21"/>
      <c r="C40" s="21"/>
      <c r="D40" s="21"/>
      <c r="E40" s="21"/>
      <c r="F40" s="21"/>
      <c r="G40" s="21"/>
      <c r="H40" s="22"/>
      <c r="I40" s="22"/>
      <c r="J40" s="36"/>
      <c r="K40" s="7"/>
      <c r="L40" s="7"/>
      <c r="M40" s="7"/>
      <c r="N40" s="7"/>
      <c r="O40" s="7"/>
    </row>
  </sheetData>
  <sheetProtection selectLockedCells="1" selectUnlockedCells="1"/>
  <mergeCells count="31">
    <mergeCell ref="K9:O9"/>
    <mergeCell ref="I9:J9"/>
    <mergeCell ref="A1:O3"/>
    <mergeCell ref="A4:O6"/>
    <mergeCell ref="A7:O7"/>
    <mergeCell ref="A8:O8"/>
    <mergeCell ref="A9:C9"/>
    <mergeCell ref="D9:H9"/>
    <mergeCell ref="B33:B34"/>
    <mergeCell ref="O33:O34"/>
    <mergeCell ref="O22:O27"/>
    <mergeCell ref="A10:C10"/>
    <mergeCell ref="D10:H10"/>
    <mergeCell ref="I10:J10"/>
    <mergeCell ref="K10:O10"/>
    <mergeCell ref="D11:H11"/>
    <mergeCell ref="I11:J11"/>
    <mergeCell ref="K11:O11"/>
    <mergeCell ref="A11:C11"/>
    <mergeCell ref="A37:I37"/>
    <mergeCell ref="A13:O13"/>
    <mergeCell ref="A15:A35"/>
    <mergeCell ref="B15:B16"/>
    <mergeCell ref="O15:O16"/>
    <mergeCell ref="O17:O18"/>
    <mergeCell ref="B19:B21"/>
    <mergeCell ref="O19:O21"/>
    <mergeCell ref="B22:B27"/>
    <mergeCell ref="B17:B18"/>
    <mergeCell ref="B28:B30"/>
    <mergeCell ref="O28:O30"/>
  </mergeCells>
  <dataValidations count="2">
    <dataValidation type="list" operator="equal" allowBlank="1" showErrorMessage="1" sqref="K9">
      <formula1>"EFICACIA,EFICIENCIA,EFECTIVIDAD"</formula1>
      <formula2>0</formula2>
    </dataValidation>
    <dataValidation type="list" operator="equal" allowBlank="1" showErrorMessage="1" sqref="K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536"/>
  <sheetViews>
    <sheetView topLeftCell="A52" zoomScale="75" zoomScaleNormal="75" workbookViewId="0">
      <selection activeCell="N64" sqref="A1:Q64"/>
    </sheetView>
  </sheetViews>
  <sheetFormatPr baseColWidth="10" defaultRowHeight="14.65" customHeight="1"/>
  <cols>
    <col min="1" max="1" width="53.7109375" style="1" customWidth="1"/>
    <col min="2" max="2" width="8.7109375" style="1" customWidth="1"/>
    <col min="3" max="3" width="11.28515625" style="1" customWidth="1"/>
    <col min="4" max="4" width="15.85546875" style="1" customWidth="1"/>
    <col min="5" max="5" width="14.7109375" style="1" customWidth="1"/>
    <col min="6" max="6" width="11.5703125" style="1" customWidth="1"/>
    <col min="7" max="7" width="15.85546875" style="1" customWidth="1"/>
    <col min="8" max="8" width="12" style="1" customWidth="1"/>
    <col min="9" max="9" width="15.85546875" style="1" customWidth="1"/>
    <col min="10" max="10" width="13" style="1" customWidth="1"/>
    <col min="11" max="11" width="16.85546875" style="1" customWidth="1"/>
    <col min="12" max="12" width="13.85546875" style="1" customWidth="1"/>
    <col min="13" max="13" width="17.140625" style="1" customWidth="1"/>
    <col min="14" max="14" width="17.42578125" style="1" customWidth="1"/>
    <col min="15" max="15" width="16.85546875" style="1" customWidth="1"/>
    <col min="16" max="16" width="15.28515625" style="1" customWidth="1"/>
    <col min="17" max="17" width="18.28515625" style="1" customWidth="1"/>
    <col min="18" max="16384" width="11.42578125" style="1"/>
  </cols>
  <sheetData>
    <row r="1" spans="1:17" s="3" customFormat="1" ht="13.9" customHeight="1">
      <c r="A1" s="52"/>
      <c r="B1" s="52"/>
      <c r="C1" s="196" t="s">
        <v>0</v>
      </c>
      <c r="D1" s="196"/>
      <c r="E1" s="196"/>
      <c r="F1" s="196"/>
      <c r="G1" s="196"/>
      <c r="H1" s="196"/>
      <c r="I1" s="196"/>
      <c r="J1" s="196"/>
      <c r="K1" s="196"/>
      <c r="L1" s="196"/>
      <c r="M1" s="190" t="s">
        <v>28</v>
      </c>
      <c r="N1" s="190"/>
      <c r="O1" s="190"/>
      <c r="P1" s="190"/>
      <c r="Q1" s="190"/>
    </row>
    <row r="2" spans="1:17" s="3" customFormat="1" ht="13.9" customHeight="1">
      <c r="A2" s="54"/>
      <c r="B2" s="54"/>
      <c r="C2" s="196"/>
      <c r="D2" s="196"/>
      <c r="E2" s="196"/>
      <c r="F2" s="196"/>
      <c r="G2" s="196"/>
      <c r="H2" s="196"/>
      <c r="I2" s="196"/>
      <c r="J2" s="196"/>
      <c r="K2" s="196"/>
      <c r="L2" s="196"/>
      <c r="M2" s="190"/>
      <c r="N2" s="190"/>
      <c r="O2" s="190"/>
      <c r="P2" s="190"/>
      <c r="Q2" s="190"/>
    </row>
    <row r="3" spans="1:17" s="3" customFormat="1" ht="13.9" customHeight="1">
      <c r="A3" s="54"/>
      <c r="B3" s="54"/>
      <c r="C3" s="196"/>
      <c r="D3" s="196"/>
      <c r="E3" s="196"/>
      <c r="F3" s="196"/>
      <c r="G3" s="196"/>
      <c r="H3" s="196"/>
      <c r="I3" s="196"/>
      <c r="J3" s="196"/>
      <c r="K3" s="196"/>
      <c r="L3" s="196"/>
      <c r="M3" s="190" t="s">
        <v>29</v>
      </c>
      <c r="N3" s="190"/>
      <c r="O3" s="190"/>
      <c r="P3" s="190"/>
      <c r="Q3" s="190"/>
    </row>
    <row r="4" spans="1:17" s="3" customFormat="1" ht="13.9" customHeight="1">
      <c r="A4" s="54"/>
      <c r="B4" s="54"/>
      <c r="C4" s="196" t="s">
        <v>30</v>
      </c>
      <c r="D4" s="196"/>
      <c r="E4" s="196"/>
      <c r="F4" s="196"/>
      <c r="G4" s="196"/>
      <c r="H4" s="196"/>
      <c r="I4" s="196"/>
      <c r="J4" s="196"/>
      <c r="K4" s="196"/>
      <c r="L4" s="196"/>
      <c r="M4" s="190"/>
      <c r="N4" s="190"/>
      <c r="O4" s="190"/>
      <c r="P4" s="190"/>
      <c r="Q4" s="190"/>
    </row>
    <row r="5" spans="1:17" s="3" customFormat="1" ht="13.9" customHeight="1">
      <c r="A5" s="54"/>
      <c r="B5" s="54"/>
      <c r="C5" s="196"/>
      <c r="D5" s="196"/>
      <c r="E5" s="196"/>
      <c r="F5" s="196"/>
      <c r="G5" s="196"/>
      <c r="H5" s="196"/>
      <c r="I5" s="196"/>
      <c r="J5" s="196"/>
      <c r="K5" s="196"/>
      <c r="L5" s="196"/>
      <c r="M5" s="190" t="s">
        <v>31</v>
      </c>
      <c r="N5" s="190"/>
      <c r="O5" s="190"/>
      <c r="P5" s="190"/>
      <c r="Q5" s="190"/>
    </row>
    <row r="6" spans="1:17" s="3" customFormat="1" ht="13.9" customHeight="1">
      <c r="A6" s="56"/>
      <c r="B6" s="56"/>
      <c r="C6" s="196"/>
      <c r="D6" s="196"/>
      <c r="E6" s="196"/>
      <c r="F6" s="196"/>
      <c r="G6" s="196"/>
      <c r="H6" s="196"/>
      <c r="I6" s="196"/>
      <c r="J6" s="196"/>
      <c r="K6" s="196"/>
      <c r="L6" s="196"/>
      <c r="M6" s="190"/>
      <c r="N6" s="190"/>
      <c r="O6" s="190"/>
      <c r="P6" s="190"/>
      <c r="Q6" s="190"/>
    </row>
    <row r="7" spans="1:17" s="3" customFormat="1" ht="12.75" customHeight="1">
      <c r="A7" s="180"/>
      <c r="B7" s="180"/>
      <c r="C7" s="180"/>
      <c r="D7" s="180"/>
      <c r="E7" s="180"/>
      <c r="F7" s="180"/>
      <c r="G7" s="180"/>
      <c r="H7" s="180"/>
      <c r="I7" s="180"/>
      <c r="J7" s="180"/>
      <c r="K7" s="180"/>
      <c r="L7" s="180"/>
      <c r="M7" s="180"/>
      <c r="N7" s="180"/>
      <c r="O7" s="180"/>
      <c r="P7" s="180"/>
      <c r="Q7" s="180"/>
    </row>
    <row r="8" spans="1:17" ht="30" customHeight="1">
      <c r="A8" s="174" t="s">
        <v>2</v>
      </c>
      <c r="B8" s="174"/>
      <c r="C8" s="174"/>
      <c r="D8" s="174"/>
      <c r="E8" s="174"/>
      <c r="F8" s="174"/>
      <c r="G8" s="174"/>
      <c r="H8" s="174"/>
      <c r="I8" s="174"/>
      <c r="J8" s="174"/>
      <c r="K8" s="174"/>
      <c r="L8" s="174"/>
      <c r="M8" s="174"/>
      <c r="N8" s="174"/>
      <c r="O8" s="174"/>
      <c r="P8" s="174"/>
      <c r="Q8" s="174"/>
    </row>
    <row r="9" spans="1:17" ht="42" customHeight="1">
      <c r="A9" s="183" t="s">
        <v>3</v>
      </c>
      <c r="B9" s="183"/>
      <c r="C9" s="183"/>
      <c r="D9" s="186" t="s">
        <v>213</v>
      </c>
      <c r="E9" s="186"/>
      <c r="F9" s="186"/>
      <c r="G9" s="186"/>
      <c r="H9" s="186"/>
      <c r="I9" s="183" t="s">
        <v>5</v>
      </c>
      <c r="J9" s="183"/>
      <c r="K9" s="183"/>
      <c r="L9" s="183"/>
      <c r="M9" s="186" t="s">
        <v>111</v>
      </c>
      <c r="N9" s="186"/>
      <c r="O9" s="186"/>
      <c r="P9" s="186"/>
      <c r="Q9" s="186"/>
    </row>
    <row r="10" spans="1:17" ht="42" customHeight="1">
      <c r="A10" s="183" t="s">
        <v>7</v>
      </c>
      <c r="B10" s="183"/>
      <c r="C10" s="183"/>
      <c r="D10" s="186" t="s">
        <v>8</v>
      </c>
      <c r="E10" s="186"/>
      <c r="F10" s="186"/>
      <c r="G10" s="186"/>
      <c r="H10" s="186"/>
      <c r="I10" s="183" t="s">
        <v>9</v>
      </c>
      <c r="J10" s="183"/>
      <c r="K10" s="183"/>
      <c r="L10" s="183"/>
      <c r="M10" s="186" t="s">
        <v>10</v>
      </c>
      <c r="N10" s="186"/>
      <c r="O10" s="186"/>
      <c r="P10" s="186"/>
      <c r="Q10" s="186"/>
    </row>
    <row r="11" spans="1:17" ht="52.9" customHeight="1">
      <c r="A11" s="183" t="s">
        <v>11</v>
      </c>
      <c r="B11" s="183"/>
      <c r="C11" s="183"/>
      <c r="D11" s="186" t="s">
        <v>216</v>
      </c>
      <c r="E11" s="186"/>
      <c r="F11" s="186"/>
      <c r="G11" s="186"/>
      <c r="H11" s="186"/>
      <c r="I11" s="200" t="s">
        <v>32</v>
      </c>
      <c r="J11" s="200"/>
      <c r="K11" s="200"/>
      <c r="L11" s="200"/>
      <c r="M11" s="186" t="s">
        <v>33</v>
      </c>
      <c r="N11" s="186"/>
      <c r="O11" s="186"/>
      <c r="P11" s="186"/>
      <c r="Q11" s="186"/>
    </row>
    <row r="12" spans="1:17" ht="44.85" customHeight="1">
      <c r="A12" s="183" t="s">
        <v>34</v>
      </c>
      <c r="B12" s="183"/>
      <c r="C12" s="183"/>
      <c r="D12" s="186" t="s">
        <v>217</v>
      </c>
      <c r="E12" s="186"/>
      <c r="F12" s="186"/>
      <c r="G12" s="186"/>
      <c r="H12" s="186"/>
      <c r="I12" s="200" t="s">
        <v>36</v>
      </c>
      <c r="J12" s="200"/>
      <c r="K12" s="200"/>
      <c r="L12" s="200"/>
      <c r="M12" s="186" t="s">
        <v>37</v>
      </c>
      <c r="N12" s="186"/>
      <c r="O12" s="186"/>
      <c r="P12" s="186"/>
      <c r="Q12" s="186"/>
    </row>
    <row r="13" spans="1:17" ht="52.9" customHeight="1">
      <c r="A13" s="183" t="s">
        <v>38</v>
      </c>
      <c r="B13" s="183"/>
      <c r="C13" s="183"/>
      <c r="D13" s="186" t="s">
        <v>218</v>
      </c>
      <c r="E13" s="186"/>
      <c r="F13" s="186"/>
      <c r="G13" s="186"/>
      <c r="H13" s="186"/>
      <c r="I13" s="200" t="s">
        <v>40</v>
      </c>
      <c r="J13" s="200"/>
      <c r="K13" s="200"/>
      <c r="L13" s="200"/>
      <c r="M13" s="186" t="s">
        <v>219</v>
      </c>
      <c r="N13" s="186"/>
      <c r="O13" s="186"/>
      <c r="P13" s="186"/>
      <c r="Q13" s="186"/>
    </row>
    <row r="14" spans="1:17" ht="15" customHeight="1">
      <c r="A14" s="183" t="s">
        <v>42</v>
      </c>
      <c r="B14" s="183"/>
      <c r="C14" s="183"/>
      <c r="D14" s="186" t="s">
        <v>220</v>
      </c>
      <c r="E14" s="186"/>
      <c r="F14" s="186"/>
      <c r="G14" s="186"/>
      <c r="H14" s="186"/>
      <c r="I14" s="183" t="s">
        <v>44</v>
      </c>
      <c r="J14" s="183"/>
      <c r="K14" s="183"/>
      <c r="L14" s="183"/>
      <c r="M14" s="186" t="s">
        <v>221</v>
      </c>
      <c r="N14" s="186"/>
      <c r="O14" s="186"/>
      <c r="P14" s="186"/>
      <c r="Q14" s="186"/>
    </row>
    <row r="15" spans="1:17" ht="42.4" customHeight="1">
      <c r="A15" s="183" t="s">
        <v>46</v>
      </c>
      <c r="B15" s="183"/>
      <c r="C15" s="183"/>
      <c r="D15" s="173" t="s">
        <v>47</v>
      </c>
      <c r="E15" s="173"/>
      <c r="F15" s="173"/>
      <c r="G15" s="173"/>
      <c r="H15" s="173"/>
      <c r="I15" s="183" t="s">
        <v>48</v>
      </c>
      <c r="J15" s="183"/>
      <c r="K15" s="183"/>
      <c r="L15" s="183"/>
      <c r="M15" s="173" t="s">
        <v>49</v>
      </c>
      <c r="N15" s="173"/>
      <c r="O15" s="173"/>
      <c r="P15" s="173"/>
      <c r="Q15" s="173"/>
    </row>
    <row r="16" spans="1:17" ht="41.25" customHeight="1">
      <c r="A16" s="183"/>
      <c r="B16" s="183"/>
      <c r="C16" s="183"/>
      <c r="D16" s="173" t="s">
        <v>50</v>
      </c>
      <c r="E16" s="173"/>
      <c r="F16" s="173"/>
      <c r="G16" s="173"/>
      <c r="H16" s="173"/>
      <c r="I16" s="183" t="s">
        <v>222</v>
      </c>
      <c r="J16" s="183"/>
      <c r="K16" s="183"/>
      <c r="L16" s="183"/>
      <c r="M16" s="173" t="s">
        <v>51</v>
      </c>
      <c r="N16" s="173"/>
      <c r="O16" s="173"/>
      <c r="P16" s="173"/>
      <c r="Q16" s="173"/>
    </row>
    <row r="17" spans="1:20" ht="6.75" customHeight="1"/>
    <row r="18" spans="1:20" ht="26.85" customHeight="1">
      <c r="A18" s="174" t="s">
        <v>52</v>
      </c>
      <c r="B18" s="174"/>
      <c r="C18" s="174"/>
      <c r="D18" s="174"/>
      <c r="E18" s="174"/>
      <c r="F18" s="174"/>
      <c r="G18" s="174"/>
      <c r="H18" s="174"/>
      <c r="I18" s="174"/>
      <c r="J18" s="174"/>
      <c r="K18" s="174"/>
      <c r="L18" s="174"/>
      <c r="M18" s="174"/>
      <c r="N18" s="174"/>
      <c r="O18" s="174"/>
      <c r="P18" s="174"/>
      <c r="Q18" s="174"/>
    </row>
    <row r="19" spans="1:20" ht="33.75" customHeight="1">
      <c r="A19" s="29" t="s">
        <v>223</v>
      </c>
      <c r="B19" s="29" t="s">
        <v>114</v>
      </c>
      <c r="C19" s="29" t="s">
        <v>224</v>
      </c>
      <c r="D19" s="29" t="s">
        <v>117</v>
      </c>
      <c r="E19" s="29" t="s">
        <v>225</v>
      </c>
      <c r="F19" s="29">
        <v>2012</v>
      </c>
      <c r="G19" s="29" t="s">
        <v>196</v>
      </c>
      <c r="H19" s="30">
        <v>2013</v>
      </c>
      <c r="I19" s="29" t="s">
        <v>196</v>
      </c>
      <c r="J19" s="29">
        <v>2014</v>
      </c>
      <c r="K19" s="29" t="s">
        <v>196</v>
      </c>
      <c r="L19" s="29">
        <v>2015</v>
      </c>
      <c r="M19" s="29" t="s">
        <v>196</v>
      </c>
      <c r="N19" s="29">
        <v>2016</v>
      </c>
      <c r="O19" s="29" t="s">
        <v>196</v>
      </c>
      <c r="P19" s="29" t="s">
        <v>226</v>
      </c>
      <c r="Q19" s="29" t="s">
        <v>227</v>
      </c>
    </row>
    <row r="20" spans="1:20" ht="85.5" customHeight="1">
      <c r="A20" s="7" t="s">
        <v>228</v>
      </c>
      <c r="B20" s="7">
        <v>914</v>
      </c>
      <c r="C20" s="91">
        <v>92000</v>
      </c>
      <c r="D20" s="7" t="s">
        <v>229</v>
      </c>
      <c r="E20" s="92" t="s">
        <v>230</v>
      </c>
      <c r="F20" s="93">
        <v>0</v>
      </c>
      <c r="G20" s="39">
        <f t="shared" ref="G20:G29" si="0">+F20/C20</f>
        <v>0</v>
      </c>
      <c r="H20" s="94">
        <v>31330</v>
      </c>
      <c r="I20" s="39">
        <f>+H20/C20</f>
        <v>0.34054347826086956</v>
      </c>
      <c r="J20" s="95">
        <v>46575</v>
      </c>
      <c r="K20" s="39">
        <f>+J20/C20</f>
        <v>0.50624999999999998</v>
      </c>
      <c r="L20" s="96">
        <f>+'Avance Acumulado Metas PDD'!J15</f>
        <v>80027</v>
      </c>
      <c r="M20" s="39">
        <f>+L20/C20</f>
        <v>0.86985869565217389</v>
      </c>
      <c r="N20" s="97">
        <f>+'Avance Acumulado Metas PDD'!K15</f>
        <v>42885</v>
      </c>
      <c r="O20" s="98">
        <f>+N20/C20</f>
        <v>0.46614130434782608</v>
      </c>
      <c r="P20" s="97">
        <f>+N20</f>
        <v>42885</v>
      </c>
      <c r="Q20" s="39">
        <f>+P20/C20</f>
        <v>0.46614130434782608</v>
      </c>
      <c r="S20" s="99">
        <v>92000</v>
      </c>
      <c r="T20" s="65">
        <v>0.46614130434782608</v>
      </c>
    </row>
    <row r="21" spans="1:20" ht="85.5" customHeight="1">
      <c r="A21" s="7" t="s">
        <v>231</v>
      </c>
      <c r="B21" s="7">
        <v>914</v>
      </c>
      <c r="C21" s="100">
        <v>80</v>
      </c>
      <c r="D21" s="7" t="s">
        <v>232</v>
      </c>
      <c r="E21" s="92" t="s">
        <v>233</v>
      </c>
      <c r="F21" s="93">
        <v>0</v>
      </c>
      <c r="G21" s="39">
        <f t="shared" si="0"/>
        <v>0</v>
      </c>
      <c r="H21" s="94">
        <v>11</v>
      </c>
      <c r="I21" s="39">
        <f>+(H21+F21)/C21</f>
        <v>0.13750000000000001</v>
      </c>
      <c r="J21" s="95">
        <v>4</v>
      </c>
      <c r="K21" s="39">
        <f>(+J21+H21)/C21</f>
        <v>0.1875</v>
      </c>
      <c r="L21" s="96">
        <v>70</v>
      </c>
      <c r="M21" s="39">
        <f>+(L21+J21+H21)/C21</f>
        <v>1.0625</v>
      </c>
      <c r="N21" s="97">
        <v>0</v>
      </c>
      <c r="O21" s="39">
        <f>+(L21+J21+H21+N21)/C21</f>
        <v>1.0625</v>
      </c>
      <c r="P21" s="97">
        <f>+H21+J21+L21+N21</f>
        <v>85</v>
      </c>
      <c r="Q21" s="39">
        <f>+'Avance Acumulado Metas PDD'!M16</f>
        <v>1.0625</v>
      </c>
      <c r="S21" s="101">
        <v>80</v>
      </c>
      <c r="T21" s="65">
        <v>1.0625</v>
      </c>
    </row>
    <row r="22" spans="1:20" ht="42.75" customHeight="1">
      <c r="A22" s="7" t="s">
        <v>234</v>
      </c>
      <c r="B22" s="7">
        <v>915</v>
      </c>
      <c r="C22" s="91">
        <v>65216</v>
      </c>
      <c r="D22" s="7" t="s">
        <v>235</v>
      </c>
      <c r="E22" s="7" t="s">
        <v>230</v>
      </c>
      <c r="F22" s="93">
        <v>0</v>
      </c>
      <c r="G22" s="39">
        <f t="shared" si="0"/>
        <v>0</v>
      </c>
      <c r="H22" s="94">
        <v>8500</v>
      </c>
      <c r="I22" s="39">
        <f>+H22/C22</f>
        <v>0.1303361138370952</v>
      </c>
      <c r="J22" s="95">
        <v>36208</v>
      </c>
      <c r="K22" s="39">
        <f>+J22/C22</f>
        <v>0.55520117762512267</v>
      </c>
      <c r="L22" s="96">
        <f>+'Avance Acumulado Metas PDD'!J17</f>
        <v>58960</v>
      </c>
      <c r="M22" s="39">
        <f>+L22/C22</f>
        <v>0.90407262021589796</v>
      </c>
      <c r="N22" s="97">
        <f>+'Avance Acumulado Metas PDD'!L17</f>
        <v>48935</v>
      </c>
      <c r="O22" s="98">
        <f>+N22/C22</f>
        <v>0.75035267419038276</v>
      </c>
      <c r="P22" s="97">
        <f>+N22</f>
        <v>48935</v>
      </c>
      <c r="Q22" s="39">
        <f>+'Avance Acumulado Metas PDD'!M17</f>
        <v>0.75035267419038276</v>
      </c>
      <c r="S22" s="99">
        <v>65216</v>
      </c>
      <c r="T22" s="65">
        <v>0.75035267419038276</v>
      </c>
    </row>
    <row r="23" spans="1:20" ht="85.5" customHeight="1">
      <c r="A23" s="7" t="s">
        <v>236</v>
      </c>
      <c r="B23" s="7">
        <v>915</v>
      </c>
      <c r="C23" s="100">
        <v>150</v>
      </c>
      <c r="D23" s="7" t="s">
        <v>237</v>
      </c>
      <c r="E23" s="7" t="s">
        <v>233</v>
      </c>
      <c r="F23" s="93">
        <v>0</v>
      </c>
      <c r="G23" s="39">
        <f t="shared" si="0"/>
        <v>0</v>
      </c>
      <c r="H23" s="94">
        <v>41</v>
      </c>
      <c r="I23" s="39">
        <f>+(H23+F23)/C23</f>
        <v>0.27333333333333332</v>
      </c>
      <c r="J23" s="95">
        <v>41</v>
      </c>
      <c r="K23" s="39">
        <f>(+J23+H23)/C23</f>
        <v>0.54666666666666663</v>
      </c>
      <c r="L23" s="96">
        <f>+'Avance Acumulado Metas PDD'!J18</f>
        <v>42</v>
      </c>
      <c r="M23" s="39">
        <f>(L23+J23+H23)/C23</f>
        <v>0.82666666666666666</v>
      </c>
      <c r="N23" s="97">
        <f>+'Avance Acumulado Metas PDD'!K18</f>
        <v>36</v>
      </c>
      <c r="O23" s="39">
        <f>+(N23+L23+J23+H23)/C23</f>
        <v>1.0666666666666667</v>
      </c>
      <c r="P23" s="97">
        <f>+H23+J23+L23+N23</f>
        <v>160</v>
      </c>
      <c r="Q23" s="39">
        <f>+'Avance Acumulado Metas PDD'!M18</f>
        <v>1.0666666666666667</v>
      </c>
      <c r="S23" s="101">
        <v>150</v>
      </c>
      <c r="T23" s="65">
        <v>1.0666666666666667</v>
      </c>
    </row>
    <row r="24" spans="1:20" ht="57" customHeight="1">
      <c r="A24" s="7" t="s">
        <v>238</v>
      </c>
      <c r="B24" s="7">
        <v>772</v>
      </c>
      <c r="C24" s="100">
        <v>6</v>
      </c>
      <c r="D24" s="7" t="s">
        <v>239</v>
      </c>
      <c r="E24" s="92" t="s">
        <v>230</v>
      </c>
      <c r="F24" s="93">
        <v>0</v>
      </c>
      <c r="G24" s="39">
        <f t="shared" si="0"/>
        <v>0</v>
      </c>
      <c r="H24" s="94">
        <v>2</v>
      </c>
      <c r="I24" s="39">
        <f>+H24/C24</f>
        <v>0.33333333333333331</v>
      </c>
      <c r="J24" s="95">
        <v>3</v>
      </c>
      <c r="K24" s="39">
        <f>+J24/C24</f>
        <v>0.5</v>
      </c>
      <c r="L24" s="96">
        <f>+'Avance Acumulado Metas PDD'!J19</f>
        <v>5</v>
      </c>
      <c r="M24" s="39">
        <f>+L24/C24</f>
        <v>0.83333333333333337</v>
      </c>
      <c r="N24" s="97">
        <v>2</v>
      </c>
      <c r="O24" s="98">
        <f>+N24/C24</f>
        <v>0.33333333333333331</v>
      </c>
      <c r="P24" s="97">
        <v>2</v>
      </c>
      <c r="Q24" s="39">
        <f>+P24/C24</f>
        <v>0.33333333333333331</v>
      </c>
      <c r="S24" s="101">
        <v>6</v>
      </c>
      <c r="T24" s="65">
        <v>0.33333333333333331</v>
      </c>
    </row>
    <row r="25" spans="1:20" ht="57" customHeight="1">
      <c r="A25" s="7" t="s">
        <v>240</v>
      </c>
      <c r="B25" s="7">
        <v>772</v>
      </c>
      <c r="C25" s="100">
        <v>111</v>
      </c>
      <c r="D25" s="7" t="s">
        <v>241</v>
      </c>
      <c r="E25" s="102" t="s">
        <v>233</v>
      </c>
      <c r="F25" s="93">
        <v>0</v>
      </c>
      <c r="G25" s="39">
        <f t="shared" si="0"/>
        <v>0</v>
      </c>
      <c r="H25" s="94">
        <v>25</v>
      </c>
      <c r="I25" s="39">
        <f>+(H25+F25)/C25</f>
        <v>0.22522522522522523</v>
      </c>
      <c r="J25" s="95">
        <v>25</v>
      </c>
      <c r="K25" s="39">
        <f>(+J25+H25)/C25</f>
        <v>0.45045045045045046</v>
      </c>
      <c r="L25" s="96">
        <v>56</v>
      </c>
      <c r="M25" s="39">
        <f>(L25+J25+H25)/C25</f>
        <v>0.95495495495495497</v>
      </c>
      <c r="N25" s="97">
        <v>5</v>
      </c>
      <c r="O25" s="39">
        <f>+(N25+L25+J25+H25)/C25</f>
        <v>1</v>
      </c>
      <c r="P25" s="97">
        <f>+H25+J25+L25+N25</f>
        <v>111</v>
      </c>
      <c r="Q25" s="39">
        <f>+'Avance Acumulado Metas PDD'!M20</f>
        <v>1</v>
      </c>
      <c r="S25" s="101">
        <v>111</v>
      </c>
      <c r="T25" s="65">
        <v>1</v>
      </c>
    </row>
    <row r="26" spans="1:20" ht="28.5" customHeight="1">
      <c r="A26" s="7" t="s">
        <v>242</v>
      </c>
      <c r="B26" s="7">
        <v>772</v>
      </c>
      <c r="C26" s="100">
        <v>5</v>
      </c>
      <c r="D26" s="7" t="s">
        <v>243</v>
      </c>
      <c r="E26" s="102" t="s">
        <v>233</v>
      </c>
      <c r="F26" s="93">
        <v>0</v>
      </c>
      <c r="G26" s="39">
        <f t="shared" si="0"/>
        <v>0</v>
      </c>
      <c r="H26" s="94">
        <v>1</v>
      </c>
      <c r="I26" s="39">
        <f>+(H26+F26)/C26</f>
        <v>0.2</v>
      </c>
      <c r="J26" s="95">
        <v>1</v>
      </c>
      <c r="K26" s="39">
        <f>(+J26+H26)/C26</f>
        <v>0.4</v>
      </c>
      <c r="L26" s="96">
        <f>+'Avance Acumulado Metas PDD'!J21</f>
        <v>2</v>
      </c>
      <c r="M26" s="39">
        <f>(L26+J26+H26)/C26</f>
        <v>0.8</v>
      </c>
      <c r="N26" s="97">
        <f>+'Avance Acumulado Metas PDD'!K21</f>
        <v>0</v>
      </c>
      <c r="O26" s="98">
        <f>+(N26+L26+J26+H26)/C26</f>
        <v>0.8</v>
      </c>
      <c r="P26" s="97">
        <f>+F26+H26+J26+L26+N26</f>
        <v>4</v>
      </c>
      <c r="Q26" s="39">
        <f>+'Avance Acumulado Metas PDD'!M21</f>
        <v>0.8</v>
      </c>
      <c r="S26" s="101">
        <v>5</v>
      </c>
      <c r="T26" s="65">
        <v>0.8</v>
      </c>
    </row>
    <row r="27" spans="1:20" ht="42.75">
      <c r="A27" s="7" t="s">
        <v>244</v>
      </c>
      <c r="B27" s="7">
        <v>792</v>
      </c>
      <c r="C27" s="103">
        <v>1</v>
      </c>
      <c r="D27" s="7" t="s">
        <v>245</v>
      </c>
      <c r="E27" s="7" t="s">
        <v>230</v>
      </c>
      <c r="F27" s="104">
        <v>0</v>
      </c>
      <c r="G27" s="39">
        <f t="shared" si="0"/>
        <v>0</v>
      </c>
      <c r="H27" s="94">
        <v>0</v>
      </c>
      <c r="I27" s="39">
        <f>+H27/C27</f>
        <v>0</v>
      </c>
      <c r="J27" s="105">
        <v>0.2</v>
      </c>
      <c r="K27" s="39">
        <f>+J27/C27</f>
        <v>0.2</v>
      </c>
      <c r="L27" s="106">
        <f>+'Avance Acumulado Metas PDD'!J31</f>
        <v>0.30000000000000004</v>
      </c>
      <c r="M27" s="39">
        <f>+L27/C27</f>
        <v>0.30000000000000004</v>
      </c>
      <c r="N27" s="107">
        <f>+'Avance Acumulado Metas PDD'!K31</f>
        <v>0.34</v>
      </c>
      <c r="O27" s="98">
        <f>+N27/C27</f>
        <v>0.34</v>
      </c>
      <c r="P27" s="107">
        <f>+N27</f>
        <v>0.34</v>
      </c>
      <c r="Q27" s="39">
        <f>+O27</f>
        <v>0.34</v>
      </c>
      <c r="S27" s="108">
        <v>1</v>
      </c>
      <c r="T27" s="65">
        <v>0.34</v>
      </c>
    </row>
    <row r="28" spans="1:20" ht="57" customHeight="1">
      <c r="A28" s="7" t="s">
        <v>246</v>
      </c>
      <c r="B28" s="7">
        <v>783</v>
      </c>
      <c r="C28" s="109">
        <v>0.499</v>
      </c>
      <c r="D28" s="7" t="s">
        <v>247</v>
      </c>
      <c r="E28" s="7" t="s">
        <v>230</v>
      </c>
      <c r="F28" s="110">
        <v>0.1</v>
      </c>
      <c r="G28" s="39">
        <f t="shared" si="0"/>
        <v>0.20040080160320642</v>
      </c>
      <c r="H28" s="59">
        <v>0.16259999999999999</v>
      </c>
      <c r="I28" s="39">
        <f>+H28/C28</f>
        <v>0.32585170340681363</v>
      </c>
      <c r="J28" s="105">
        <v>0.28470000000000001</v>
      </c>
      <c r="K28" s="39">
        <f>+J28/C28</f>
        <v>0.57054108216432864</v>
      </c>
      <c r="L28" s="106">
        <f>+'Avance Acumulado Metas PDD'!J28</f>
        <v>0.375</v>
      </c>
      <c r="M28" s="39">
        <f>+L28/C28</f>
        <v>0.75150300601202402</v>
      </c>
      <c r="N28" s="107">
        <f>+'Avance Acumulado Metas PDD'!K28</f>
        <v>0.41560000000000002</v>
      </c>
      <c r="O28" s="98">
        <f>+N28/C28</f>
        <v>0.83286573146292586</v>
      </c>
      <c r="P28" s="107">
        <f>+N28</f>
        <v>0.41560000000000002</v>
      </c>
      <c r="Q28" s="39">
        <f>+O28</f>
        <v>0.83286573146292586</v>
      </c>
      <c r="S28" s="111">
        <v>49</v>
      </c>
      <c r="T28" s="65">
        <v>0.83286573146292586</v>
      </c>
    </row>
    <row r="29" spans="1:20" ht="15" customHeight="1">
      <c r="A29" s="173" t="s">
        <v>248</v>
      </c>
      <c r="B29" s="7">
        <v>783</v>
      </c>
      <c r="C29" s="91">
        <v>300000</v>
      </c>
      <c r="D29" s="7" t="s">
        <v>137</v>
      </c>
      <c r="E29" s="7" t="s">
        <v>249</v>
      </c>
      <c r="F29" s="93">
        <v>0</v>
      </c>
      <c r="G29" s="39">
        <f t="shared" si="0"/>
        <v>0</v>
      </c>
      <c r="H29" s="94">
        <v>356561</v>
      </c>
      <c r="I29" s="39">
        <f>+H29/C29</f>
        <v>1.1885366666666666</v>
      </c>
      <c r="J29" s="95">
        <v>453413</v>
      </c>
      <c r="K29" s="39">
        <f>(H29+J29)/(2*C29)</f>
        <v>1.3499566666666667</v>
      </c>
      <c r="L29" s="96">
        <f>+'Avance Acumulado Metas PDD'!J29</f>
        <v>417751</v>
      </c>
      <c r="M29" s="39">
        <f>(L29+J29+H29+F29)/(3*C29)</f>
        <v>1.3641388888888888</v>
      </c>
      <c r="N29" s="97">
        <f>+'Avance Acumulado Metas PDD'!K29</f>
        <v>143520</v>
      </c>
      <c r="O29" s="98">
        <f>(N29+L29+J29+H29)/(3.5*C29)</f>
        <v>1.3059476190476191</v>
      </c>
      <c r="P29" s="97">
        <f>+(H29+J29+L29+N29)/3.5</f>
        <v>391784.28571428574</v>
      </c>
      <c r="Q29" s="39">
        <f t="shared" ref="Q29:Q34" si="1">+P29/C29</f>
        <v>1.3059476190476191</v>
      </c>
      <c r="S29" s="99">
        <v>300000</v>
      </c>
      <c r="T29" s="65">
        <v>1.3059476190476191</v>
      </c>
    </row>
    <row r="30" spans="1:20" ht="15" customHeight="1">
      <c r="A30" s="173"/>
      <c r="B30" s="7">
        <v>783</v>
      </c>
      <c r="C30" s="91">
        <v>280000</v>
      </c>
      <c r="D30" s="7" t="s">
        <v>137</v>
      </c>
      <c r="E30" s="7" t="s">
        <v>249</v>
      </c>
      <c r="F30" s="93">
        <v>277543</v>
      </c>
      <c r="G30" s="39">
        <f>+F30/(C30*0.5)</f>
        <v>1.98245</v>
      </c>
      <c r="H30" s="94">
        <v>489625</v>
      </c>
      <c r="I30" s="39">
        <f>+(H30+F30)/(1.5*C30)</f>
        <v>1.8265904761904761</v>
      </c>
      <c r="J30" s="95">
        <v>437144</v>
      </c>
      <c r="K30" s="39">
        <f>(F30+H30+J30)/(2.5*C30)</f>
        <v>1.7204457142857144</v>
      </c>
      <c r="L30" s="96">
        <f>+'Avance Acumulado Metas PDD'!J30</f>
        <v>490223</v>
      </c>
      <c r="M30" s="39">
        <f>(L30+J30+H30+F30)/(3.5*C30)</f>
        <v>1.7291173469387755</v>
      </c>
      <c r="N30" s="97">
        <f>+'Avance Acumulado Metas PDD'!K30</f>
        <v>129085</v>
      </c>
      <c r="O30" s="98">
        <f>(N30+L30+J30+H30+F30)/(4*C30)</f>
        <v>1.6282321428571429</v>
      </c>
      <c r="P30" s="97">
        <f>+(F30+H30+J30+L30+N30)/4</f>
        <v>455905</v>
      </c>
      <c r="Q30" s="39">
        <f t="shared" si="1"/>
        <v>1.6282321428571429</v>
      </c>
      <c r="S30" s="99">
        <v>280000</v>
      </c>
      <c r="T30" s="65">
        <v>1.6282321428571429</v>
      </c>
    </row>
    <row r="31" spans="1:20" ht="15" customHeight="1">
      <c r="A31" s="173"/>
      <c r="B31" s="7">
        <v>795</v>
      </c>
      <c r="C31" s="91">
        <v>1140000</v>
      </c>
      <c r="D31" s="7" t="s">
        <v>135</v>
      </c>
      <c r="E31" s="7" t="s">
        <v>249</v>
      </c>
      <c r="F31" s="93">
        <v>1051971</v>
      </c>
      <c r="G31" s="39">
        <f>+F31/(0.5*C31)</f>
        <v>1.8455631578947369</v>
      </c>
      <c r="H31" s="94">
        <v>1048011</v>
      </c>
      <c r="I31" s="39">
        <f>+(H31+F31)/(1.5*C31)</f>
        <v>1.2280596491228071</v>
      </c>
      <c r="J31" s="95">
        <v>1680645</v>
      </c>
      <c r="K31" s="39">
        <f>(F31+H31+J31)/(2.5*C31)</f>
        <v>1.3265357894736842</v>
      </c>
      <c r="L31" s="96">
        <f>+'Avance Acumulado Metas PDD'!J22</f>
        <v>1738401</v>
      </c>
      <c r="M31" s="39">
        <f>(L31+J31+H31+F31)/(3.5*C31)</f>
        <v>1.3832150375939849</v>
      </c>
      <c r="N31" s="97">
        <f>+'Avance Acumulado Metas PDD'!K22</f>
        <v>277787</v>
      </c>
      <c r="O31" s="98">
        <f>(N31+L31+J31+H31+F31)/(4*C31)</f>
        <v>1.2712313596491227</v>
      </c>
      <c r="P31" s="97">
        <f>+(F31+H31+J31+L31+N31)/4</f>
        <v>1449203.75</v>
      </c>
      <c r="Q31" s="98">
        <f t="shared" si="1"/>
        <v>1.2712313596491227</v>
      </c>
      <c r="S31" s="99">
        <v>1140000</v>
      </c>
      <c r="T31" s="65">
        <v>1.2712313596491227</v>
      </c>
    </row>
    <row r="32" spans="1:20" ht="42.75" customHeight="1">
      <c r="A32" s="7" t="s">
        <v>250</v>
      </c>
      <c r="B32" s="7">
        <v>795</v>
      </c>
      <c r="C32" s="91">
        <v>2486</v>
      </c>
      <c r="D32" s="7" t="s">
        <v>140</v>
      </c>
      <c r="E32" s="7" t="s">
        <v>233</v>
      </c>
      <c r="F32" s="93">
        <v>453</v>
      </c>
      <c r="G32" s="39">
        <f t="shared" ref="G32:G40" si="2">+F32/C32</f>
        <v>0.18222043443282382</v>
      </c>
      <c r="H32" s="94">
        <v>658</v>
      </c>
      <c r="I32" s="39">
        <f>+(H32+F32)/C32</f>
        <v>0.44690265486725661</v>
      </c>
      <c r="J32" s="112">
        <v>574</v>
      </c>
      <c r="K32" s="39">
        <f>(F32+H32+J32)/C32</f>
        <v>0.67779565567176192</v>
      </c>
      <c r="L32" s="96">
        <f>+'Avance Acumulado Metas PDD'!J23</f>
        <v>781</v>
      </c>
      <c r="M32" s="39">
        <f>(L32+J32+H32+F32)/C32</f>
        <v>0.99195494770716008</v>
      </c>
      <c r="N32" s="97">
        <f>+'Avance Acumulado Metas PDD'!K23</f>
        <v>123</v>
      </c>
      <c r="O32" s="39">
        <f>(N32+L32+J32+H32+F32)/(C32)</f>
        <v>1.0414320193081255</v>
      </c>
      <c r="P32" s="97">
        <f>+F32+H32+J32+L32+N32</f>
        <v>2589</v>
      </c>
      <c r="Q32" s="39">
        <f t="shared" si="1"/>
        <v>1.0414320193081255</v>
      </c>
      <c r="S32" s="99">
        <v>2486</v>
      </c>
      <c r="T32" s="65">
        <v>1.0414320193081255</v>
      </c>
    </row>
    <row r="33" spans="1:20" ht="51" customHeight="1">
      <c r="A33" s="43" t="s">
        <v>251</v>
      </c>
      <c r="B33" s="7">
        <v>795</v>
      </c>
      <c r="C33" s="113">
        <v>0.2</v>
      </c>
      <c r="D33" s="7" t="s">
        <v>252</v>
      </c>
      <c r="E33" s="7" t="s">
        <v>249</v>
      </c>
      <c r="F33" s="110">
        <f>+'Avance Acumulado Metas PDD'!G24</f>
        <v>0</v>
      </c>
      <c r="G33" s="39">
        <f t="shared" si="2"/>
        <v>0</v>
      </c>
      <c r="H33" s="94">
        <f>+'Avance Acumulado Metas PDD'!H24</f>
        <v>0</v>
      </c>
      <c r="I33" s="39">
        <f>+(H33+F33)/2*C33</f>
        <v>0</v>
      </c>
      <c r="J33" s="105">
        <f>+'Avance Acumulado Metas PDD'!I24</f>
        <v>0.27850000000000003</v>
      </c>
      <c r="K33" s="39">
        <f>+J33/C33</f>
        <v>1.3925000000000001</v>
      </c>
      <c r="L33" s="106">
        <f>+'Avance Acumulado Metas PDD'!J24</f>
        <v>0.2</v>
      </c>
      <c r="M33" s="39">
        <f>+(L33+J33)/(2*C33)</f>
        <v>1.19625</v>
      </c>
      <c r="N33" s="107">
        <f>+'Avance Acumulado Metas PDD'!K24</f>
        <v>0.06</v>
      </c>
      <c r="O33" s="98">
        <f>+(N33+L33+J33)/(2.5*C33)</f>
        <v>1.077</v>
      </c>
      <c r="P33" s="107">
        <f>+'Seguim Avance % Metas PDD'!M24</f>
        <v>0.20875066666666667</v>
      </c>
      <c r="Q33" s="39">
        <f t="shared" si="1"/>
        <v>1.0437533333333333</v>
      </c>
      <c r="S33" s="111">
        <v>20</v>
      </c>
      <c r="T33" s="65">
        <v>1.0437533333333333</v>
      </c>
    </row>
    <row r="34" spans="1:20" ht="42.75" customHeight="1">
      <c r="A34" s="7" t="s">
        <v>253</v>
      </c>
      <c r="B34" s="7">
        <v>795</v>
      </c>
      <c r="C34" s="100">
        <v>50</v>
      </c>
      <c r="D34" s="7" t="s">
        <v>145</v>
      </c>
      <c r="E34" s="7" t="s">
        <v>233</v>
      </c>
      <c r="F34" s="93">
        <v>1</v>
      </c>
      <c r="G34" s="39">
        <f t="shared" si="2"/>
        <v>0.02</v>
      </c>
      <c r="H34" s="49">
        <v>14</v>
      </c>
      <c r="I34" s="39">
        <f>+(H34+F34)/C34</f>
        <v>0.3</v>
      </c>
      <c r="J34" s="112">
        <v>25</v>
      </c>
      <c r="K34" s="39">
        <f>(F34+H34+J34)/C34</f>
        <v>0.8</v>
      </c>
      <c r="L34" s="96">
        <f>+'Avance Acumulado Metas PDD'!J26</f>
        <v>10</v>
      </c>
      <c r="M34" s="39">
        <f>(L34+J34+H34+F34)/C34</f>
        <v>1</v>
      </c>
      <c r="N34" s="97">
        <f>+'Avance Acumulado Metas PDD'!K26</f>
        <v>0</v>
      </c>
      <c r="O34" s="39">
        <f>(N34+L34+J34+H34+F34)/(C34)</f>
        <v>1</v>
      </c>
      <c r="P34" s="97">
        <f>+F34+H34+J34+L34+N34</f>
        <v>50</v>
      </c>
      <c r="Q34" s="39">
        <f t="shared" si="1"/>
        <v>1</v>
      </c>
      <c r="S34" s="101">
        <v>50</v>
      </c>
      <c r="T34" s="65">
        <v>1</v>
      </c>
    </row>
    <row r="35" spans="1:20" ht="45.75" customHeight="1">
      <c r="A35" s="7" t="s">
        <v>254</v>
      </c>
      <c r="B35" s="7">
        <v>795</v>
      </c>
      <c r="C35" s="100">
        <v>7</v>
      </c>
      <c r="D35" s="7" t="s">
        <v>255</v>
      </c>
      <c r="E35" s="7" t="s">
        <v>230</v>
      </c>
      <c r="F35" s="93">
        <v>1</v>
      </c>
      <c r="G35" s="39">
        <f t="shared" si="2"/>
        <v>0.14285714285714285</v>
      </c>
      <c r="H35" s="49">
        <v>4</v>
      </c>
      <c r="I35" s="39">
        <f>+H35/C35</f>
        <v>0.5714285714285714</v>
      </c>
      <c r="J35" s="95">
        <v>4</v>
      </c>
      <c r="K35" s="39">
        <f>+J35/C35</f>
        <v>0.5714285714285714</v>
      </c>
      <c r="L35" s="96">
        <f>+'Avance Acumulado Metas PDD'!J27</f>
        <v>5</v>
      </c>
      <c r="M35" s="39">
        <f>+L35/C35</f>
        <v>0.7142857142857143</v>
      </c>
      <c r="N35" s="97">
        <f>+'Avance Acumulado Metas PDD'!K27</f>
        <v>0</v>
      </c>
      <c r="O35" s="98">
        <v>0</v>
      </c>
      <c r="P35" s="97">
        <f>+L35</f>
        <v>5</v>
      </c>
      <c r="Q35" s="39">
        <f>+M35</f>
        <v>0.7142857142857143</v>
      </c>
      <c r="S35" s="101">
        <v>7</v>
      </c>
      <c r="T35" s="65">
        <v>0.7142857142857143</v>
      </c>
    </row>
    <row r="36" spans="1:20" ht="77.650000000000006" customHeight="1">
      <c r="A36" s="7" t="s">
        <v>256</v>
      </c>
      <c r="B36" s="7">
        <v>795</v>
      </c>
      <c r="C36" s="91">
        <v>303000</v>
      </c>
      <c r="D36" s="7" t="s">
        <v>137</v>
      </c>
      <c r="E36" s="7" t="s">
        <v>233</v>
      </c>
      <c r="F36" s="93">
        <v>45548</v>
      </c>
      <c r="G36" s="39">
        <f t="shared" si="2"/>
        <v>0.15032343234323434</v>
      </c>
      <c r="H36" s="94">
        <v>65050</v>
      </c>
      <c r="I36" s="39">
        <f>+(H36+F36)/C36</f>
        <v>0.365009900990099</v>
      </c>
      <c r="J36" s="112">
        <v>71165</v>
      </c>
      <c r="K36" s="39">
        <f>(F36+H36+J36)/C36</f>
        <v>0.59987788778877893</v>
      </c>
      <c r="L36" s="96">
        <f>+'Avance Acumulado Metas PDD'!J25</f>
        <v>100307</v>
      </c>
      <c r="M36" s="39">
        <f>(L36+J36+H36+F36)/C36</f>
        <v>0.9309240924092409</v>
      </c>
      <c r="N36" s="97">
        <f>+'Avance Acumulado Metas PDD'!K25</f>
        <v>31459</v>
      </c>
      <c r="O36" s="98">
        <f>(N36+L36+J36+H36+F36)/(C36)</f>
        <v>1.0347491749174917</v>
      </c>
      <c r="P36" s="97">
        <f>+F36+H36+J36+L36+N36</f>
        <v>313529</v>
      </c>
      <c r="Q36" s="39">
        <f>+P36/C36</f>
        <v>1.0347491749174917</v>
      </c>
      <c r="S36" s="99">
        <v>303000</v>
      </c>
      <c r="T36" s="65">
        <v>1.0347491749174917</v>
      </c>
    </row>
    <row r="37" spans="1:20" ht="28.5" customHeight="1">
      <c r="A37" s="7" t="s">
        <v>257</v>
      </c>
      <c r="B37" s="7">
        <v>787</v>
      </c>
      <c r="C37" s="91">
        <v>6</v>
      </c>
      <c r="D37" s="7" t="s">
        <v>163</v>
      </c>
      <c r="E37" s="7" t="s">
        <v>233</v>
      </c>
      <c r="F37" s="93">
        <v>1</v>
      </c>
      <c r="G37" s="39">
        <f t="shared" si="2"/>
        <v>0.16666666666666666</v>
      </c>
      <c r="H37" s="49">
        <v>2</v>
      </c>
      <c r="I37" s="39">
        <f>+(H37+F37)/C37</f>
        <v>0.5</v>
      </c>
      <c r="J37" s="112">
        <v>1</v>
      </c>
      <c r="K37" s="39">
        <f>(F37+H37+J37)/C37</f>
        <v>0.66666666666666663</v>
      </c>
      <c r="L37" s="96">
        <f>+'Avance Acumulado Metas PDD'!J32</f>
        <v>1</v>
      </c>
      <c r="M37" s="39">
        <f>(L37+J37+H37+F37)/C37</f>
        <v>0.83333333333333337</v>
      </c>
      <c r="N37" s="97">
        <f>+'Avance Acumulado Metas PDD'!K32</f>
        <v>0</v>
      </c>
      <c r="O37" s="98">
        <f>(N37+L37+J37+H37+F37)/(C37)</f>
        <v>0.83333333333333337</v>
      </c>
      <c r="P37" s="97">
        <f>+F37+H37+J37+L37+N37</f>
        <v>5</v>
      </c>
      <c r="Q37" s="39">
        <f>+'Avance Acumulado Metas PDD'!M32</f>
        <v>0.83333333333333337</v>
      </c>
      <c r="S37" s="99">
        <v>6</v>
      </c>
      <c r="T37" s="65">
        <v>0.83333333333333337</v>
      </c>
    </row>
    <row r="38" spans="1:20" ht="42.75" customHeight="1">
      <c r="A38" s="7" t="s">
        <v>258</v>
      </c>
      <c r="B38" s="7">
        <v>944</v>
      </c>
      <c r="C38" s="91">
        <v>6</v>
      </c>
      <c r="D38" s="7" t="s">
        <v>259</v>
      </c>
      <c r="E38" s="7" t="s">
        <v>249</v>
      </c>
      <c r="F38" s="93">
        <v>6</v>
      </c>
      <c r="G38" s="39">
        <f t="shared" si="2"/>
        <v>1</v>
      </c>
      <c r="H38" s="49">
        <v>6</v>
      </c>
      <c r="I38" s="39">
        <f>+(H38+F38)/(2*C38)</f>
        <v>1</v>
      </c>
      <c r="J38" s="112">
        <v>6</v>
      </c>
      <c r="K38" s="39">
        <f>(F38+H38+J38)/(3*C38)</f>
        <v>1</v>
      </c>
      <c r="L38" s="96">
        <f>+'Avance Acumulado Metas PDD'!J33</f>
        <v>6</v>
      </c>
      <c r="M38" s="39">
        <f>(L38+J38+H38+F38)/(4*C38)</f>
        <v>1</v>
      </c>
      <c r="N38" s="97">
        <f>+'Avance Acumulado Metas PDD'!K33</f>
        <v>6</v>
      </c>
      <c r="O38" s="39">
        <f>(N38+L38+J38+H38+F38)/(5*C38)</f>
        <v>1</v>
      </c>
      <c r="P38" s="97">
        <f>+(F38+H38+J38+L38+N38)/5</f>
        <v>6</v>
      </c>
      <c r="Q38" s="39">
        <f>+'Avance Acumulado Metas PDD'!M33</f>
        <v>1</v>
      </c>
      <c r="S38" s="99">
        <v>6</v>
      </c>
      <c r="T38" s="65">
        <v>1</v>
      </c>
    </row>
    <row r="39" spans="1:20" ht="85.5" customHeight="1">
      <c r="A39" s="7" t="s">
        <v>260</v>
      </c>
      <c r="B39" s="7">
        <v>944</v>
      </c>
      <c r="C39" s="100">
        <v>1</v>
      </c>
      <c r="D39" s="7" t="s">
        <v>261</v>
      </c>
      <c r="E39" s="7" t="s">
        <v>249</v>
      </c>
      <c r="F39" s="93">
        <v>0</v>
      </c>
      <c r="G39" s="39">
        <f t="shared" si="2"/>
        <v>0</v>
      </c>
      <c r="H39" s="49">
        <v>1</v>
      </c>
      <c r="I39" s="39">
        <f>+H39/C39</f>
        <v>1</v>
      </c>
      <c r="J39" s="112">
        <v>1</v>
      </c>
      <c r="K39" s="39">
        <f>(H39+J39)/(2*C39)</f>
        <v>1</v>
      </c>
      <c r="L39" s="96">
        <f>+'Avance Acumulado Metas PDD'!J34</f>
        <v>0</v>
      </c>
      <c r="M39" s="39">
        <f>(L39+J39+H39+F39)/(2*C39)</f>
        <v>1</v>
      </c>
      <c r="N39" s="97">
        <f>+'Avance Acumulado Metas PDD'!K34</f>
        <v>0</v>
      </c>
      <c r="O39" s="39">
        <f>(N39+L39+J39+H39+F39)/(2*C39)</f>
        <v>1</v>
      </c>
      <c r="P39" s="97">
        <f>+(H39+J39)/2</f>
        <v>1</v>
      </c>
      <c r="Q39" s="39">
        <f>+'Avance Acumulado Metas PDD'!M34</f>
        <v>1</v>
      </c>
      <c r="S39" s="101">
        <v>1</v>
      </c>
      <c r="T39" s="65">
        <v>1</v>
      </c>
    </row>
    <row r="40" spans="1:20" ht="42.75" customHeight="1">
      <c r="A40" s="7" t="s">
        <v>262</v>
      </c>
      <c r="B40" s="7">
        <v>784</v>
      </c>
      <c r="C40" s="103">
        <v>1</v>
      </c>
      <c r="D40" s="7" t="s">
        <v>175</v>
      </c>
      <c r="E40" s="7" t="s">
        <v>230</v>
      </c>
      <c r="F40" s="104">
        <v>0.57999999999999996</v>
      </c>
      <c r="G40" s="39">
        <f t="shared" si="2"/>
        <v>0.57999999999999996</v>
      </c>
      <c r="H40" s="59">
        <v>0.54</v>
      </c>
      <c r="I40" s="39">
        <f>+H40/C40</f>
        <v>0.54</v>
      </c>
      <c r="J40" s="105">
        <v>0.66</v>
      </c>
      <c r="K40" s="39">
        <f>+J40/C40</f>
        <v>0.66</v>
      </c>
      <c r="L40" s="106">
        <f>+'Avance Acumulado Metas PDD'!J35</f>
        <v>0.78</v>
      </c>
      <c r="M40" s="39">
        <f>+L40/C40</f>
        <v>0.78</v>
      </c>
      <c r="N40" s="107">
        <f>+'Avance Acumulado Metas PDD'!K35</f>
        <v>0.81</v>
      </c>
      <c r="O40" s="39">
        <f>+N40</f>
        <v>0.81</v>
      </c>
      <c r="P40" s="107">
        <f>+N40</f>
        <v>0.81</v>
      </c>
      <c r="Q40" s="39">
        <f>+'Avance Acumulado Metas PDD'!M35</f>
        <v>0.81</v>
      </c>
      <c r="S40" s="111">
        <v>100</v>
      </c>
      <c r="T40" s="65">
        <v>0.81</v>
      </c>
    </row>
    <row r="41" spans="1:20" ht="15" customHeight="1">
      <c r="A41" s="7" t="s">
        <v>187</v>
      </c>
      <c r="B41" s="7"/>
      <c r="C41" s="7"/>
      <c r="D41"/>
      <c r="E41"/>
      <c r="F41" s="41"/>
      <c r="G41" s="41">
        <f>+(G20+G21+G22+G23+G24+G25+G26+G28+G27+G29+G30+G31+G32+G34+G35+G36+G37+G38+G39+G40)/20</f>
        <v>0.31352408178989061</v>
      </c>
      <c r="H41" s="41"/>
      <c r="I41" s="41">
        <f>+(I20+I21+I22+I23+I24+I25+I26+I28+I27+I29+I30+I31+I32+I34+I35+I36+I37+I38+I39+I40)/20</f>
        <v>0.54663255533312738</v>
      </c>
      <c r="J41" s="41"/>
      <c r="K41" s="41">
        <f>+(K20+K21+K22+K23+K24+K25+K26+K28+K27+K29+K30+K31+K32+K34+K35+K36+K37+K38+K39+K40)/20</f>
        <v>0.71446581644442064</v>
      </c>
      <c r="L41" s="41"/>
      <c r="M41" s="41">
        <f>+(M20+M21+M22+M23+M24+M25+M26+M28+M27+M29+M30+M31+M32+M34+M35+M36+M37+M38+M39+M40)/20</f>
        <v>0.95149293189960749</v>
      </c>
      <c r="N41" s="39"/>
      <c r="O41" s="39">
        <f>+(O20+O21+O22+O23+O24+O25+O26+O28+O27+O29+O30+O31+O32+O34+O35+O36+O37+O38+O39+O40)/20</f>
        <v>0.87883926795569844</v>
      </c>
      <c r="P41" s="114"/>
      <c r="Q41" s="39">
        <f>+(Q20+Q21+Q22+Q23+Q24+Q25+Q26+Q28+Q27+Q29+Q30+Q31+Q32+Q34+Q35+Q36+Q37+Q38+Q39+Q40)/20</f>
        <v>0.91455355366998403</v>
      </c>
    </row>
    <row r="42" spans="1:20" ht="15" customHeight="1">
      <c r="A42" s="7" t="s">
        <v>263</v>
      </c>
      <c r="B42" s="7"/>
      <c r="C42" s="7"/>
      <c r="D42" s="7"/>
      <c r="E42" s="7"/>
      <c r="F42" s="115"/>
      <c r="G42" s="115">
        <f>+G41/0.125</f>
        <v>2.5081926543191249</v>
      </c>
      <c r="H42" s="41"/>
      <c r="I42" s="46">
        <f>+I41/0.375</f>
        <v>1.457686814221673</v>
      </c>
      <c r="J42" s="46"/>
      <c r="K42" s="46">
        <f>+K41/0.625</f>
        <v>1.143145306311073</v>
      </c>
      <c r="L42" s="46"/>
      <c r="M42" s="46">
        <f>+M41/0.875</f>
        <v>1.0874204935995515</v>
      </c>
      <c r="N42" s="34"/>
      <c r="O42" s="46">
        <f>+O41/1</f>
        <v>0.87883926795569844</v>
      </c>
      <c r="P42" s="188"/>
      <c r="Q42" s="188"/>
    </row>
    <row r="43" spans="1:20" s="15" customFormat="1" ht="12.75" customHeight="1">
      <c r="A43" s="13"/>
      <c r="B43" s="13"/>
      <c r="C43" s="13"/>
      <c r="D43" s="13"/>
      <c r="E43" s="13"/>
      <c r="F43" s="14">
        <v>0.8</v>
      </c>
      <c r="G43" s="14"/>
      <c r="H43" s="14"/>
      <c r="I43" s="14">
        <v>0.8</v>
      </c>
      <c r="J43" s="14">
        <v>0.8</v>
      </c>
      <c r="K43" s="14">
        <v>0.8</v>
      </c>
      <c r="L43" s="14">
        <v>0.8</v>
      </c>
      <c r="M43" s="14">
        <v>0.8</v>
      </c>
      <c r="N43" s="14"/>
      <c r="O43" s="14"/>
      <c r="P43" s="188"/>
      <c r="Q43" s="188"/>
    </row>
    <row r="44" spans="1:20" ht="37.9" customHeight="1">
      <c r="A44" s="174" t="s">
        <v>96</v>
      </c>
      <c r="B44" s="174"/>
      <c r="C44" s="174"/>
      <c r="D44" s="174"/>
      <c r="E44" s="174"/>
      <c r="F44" s="174"/>
      <c r="G44" s="174"/>
      <c r="H44" s="174"/>
      <c r="I44" s="174"/>
      <c r="J44" s="174"/>
      <c r="K44" s="174"/>
      <c r="L44" s="174"/>
      <c r="M44" s="174"/>
      <c r="N44" s="174"/>
      <c r="O44" s="174"/>
      <c r="P44" s="174"/>
      <c r="Q44" s="174"/>
    </row>
    <row r="45" spans="1:20" ht="47.1" customHeight="1">
      <c r="A45" s="199" t="s">
        <v>464</v>
      </c>
      <c r="B45" s="199"/>
      <c r="C45" s="199"/>
      <c r="D45" s="199"/>
      <c r="E45" s="199"/>
      <c r="F45" s="199"/>
      <c r="G45" s="199"/>
      <c r="H45" s="199"/>
      <c r="I45" s="199"/>
      <c r="J45" s="199"/>
      <c r="K45" s="199"/>
      <c r="L45" s="116"/>
      <c r="M45" s="18"/>
      <c r="N45" s="18"/>
      <c r="O45" s="18"/>
      <c r="P45" s="18"/>
      <c r="Q45" s="19"/>
    </row>
    <row r="46" spans="1:20" ht="47.1" customHeight="1">
      <c r="A46" s="199"/>
      <c r="B46" s="199"/>
      <c r="C46" s="199"/>
      <c r="D46" s="199"/>
      <c r="E46" s="199"/>
      <c r="F46" s="199"/>
      <c r="G46" s="199"/>
      <c r="H46" s="199"/>
      <c r="I46" s="199"/>
      <c r="J46" s="199"/>
      <c r="K46" s="199"/>
      <c r="L46" s="117"/>
      <c r="M46" s="22"/>
      <c r="N46" s="22"/>
      <c r="O46" s="22"/>
      <c r="P46" s="22"/>
      <c r="Q46" s="23"/>
    </row>
    <row r="47" spans="1:20" ht="47.1" customHeight="1">
      <c r="A47" s="199"/>
      <c r="B47" s="199"/>
      <c r="C47" s="199"/>
      <c r="D47" s="199"/>
      <c r="E47" s="199"/>
      <c r="F47" s="199"/>
      <c r="G47" s="199"/>
      <c r="H47" s="199"/>
      <c r="I47" s="199"/>
      <c r="J47" s="199"/>
      <c r="K47" s="199"/>
      <c r="L47" s="117"/>
      <c r="M47" s="22"/>
      <c r="N47" s="22"/>
      <c r="O47" s="22"/>
      <c r="P47" s="22"/>
      <c r="Q47" s="23"/>
    </row>
    <row r="48" spans="1:20" ht="47.1" customHeight="1">
      <c r="A48" s="199"/>
      <c r="B48" s="199"/>
      <c r="C48" s="199"/>
      <c r="D48" s="199"/>
      <c r="E48" s="199"/>
      <c r="F48" s="199"/>
      <c r="G48" s="199"/>
      <c r="H48" s="199"/>
      <c r="I48" s="199"/>
      <c r="J48" s="199"/>
      <c r="K48" s="199"/>
      <c r="L48" s="117"/>
      <c r="M48" s="22"/>
      <c r="N48" s="22"/>
      <c r="O48" s="22"/>
      <c r="P48" s="22"/>
      <c r="Q48" s="23"/>
    </row>
    <row r="49" spans="1:19" ht="47.1" customHeight="1">
      <c r="A49" s="199"/>
      <c r="B49" s="199"/>
      <c r="C49" s="199"/>
      <c r="D49" s="199"/>
      <c r="E49" s="199"/>
      <c r="F49" s="199"/>
      <c r="G49" s="199"/>
      <c r="H49" s="199"/>
      <c r="I49" s="199"/>
      <c r="J49" s="199"/>
      <c r="K49" s="199"/>
      <c r="L49" s="117"/>
      <c r="M49" s="22"/>
      <c r="N49" s="22"/>
      <c r="O49" s="22"/>
      <c r="P49" s="22"/>
      <c r="Q49" s="23"/>
    </row>
    <row r="50" spans="1:19" ht="47.1" customHeight="1">
      <c r="A50" s="199"/>
      <c r="B50" s="199"/>
      <c r="C50" s="199"/>
      <c r="D50" s="199"/>
      <c r="E50" s="199"/>
      <c r="F50" s="199"/>
      <c r="G50" s="199"/>
      <c r="H50" s="199"/>
      <c r="I50" s="199"/>
      <c r="J50" s="199"/>
      <c r="K50" s="199"/>
      <c r="L50" s="117"/>
      <c r="M50" s="22"/>
      <c r="N50" s="22"/>
      <c r="O50" s="22"/>
      <c r="P50" s="22"/>
      <c r="Q50" s="23"/>
    </row>
    <row r="51" spans="1:19" ht="47.1" customHeight="1">
      <c r="A51" s="199"/>
      <c r="B51" s="199"/>
      <c r="C51" s="199"/>
      <c r="D51" s="199"/>
      <c r="E51" s="199"/>
      <c r="F51" s="199"/>
      <c r="G51" s="199"/>
      <c r="H51" s="199"/>
      <c r="I51" s="199"/>
      <c r="J51" s="199"/>
      <c r="K51" s="199"/>
      <c r="L51" s="117"/>
      <c r="M51" s="22"/>
      <c r="N51" s="22"/>
      <c r="O51" s="22"/>
      <c r="P51" s="22"/>
      <c r="Q51" s="23"/>
    </row>
    <row r="52" spans="1:19" ht="47.1" customHeight="1">
      <c r="A52" s="199"/>
      <c r="B52" s="199"/>
      <c r="C52" s="199"/>
      <c r="D52" s="199"/>
      <c r="E52" s="199"/>
      <c r="F52" s="199"/>
      <c r="G52" s="199"/>
      <c r="H52" s="199"/>
      <c r="I52" s="199"/>
      <c r="J52" s="199"/>
      <c r="K52" s="199"/>
      <c r="L52" s="118"/>
      <c r="M52" s="26"/>
      <c r="N52" s="26"/>
      <c r="O52" s="26"/>
      <c r="P52" s="26"/>
      <c r="Q52" s="27"/>
    </row>
    <row r="53" spans="1:19" ht="28.15" customHeight="1">
      <c r="A53" s="199"/>
      <c r="B53" s="199"/>
      <c r="C53" s="199"/>
      <c r="D53" s="199"/>
      <c r="E53" s="199"/>
      <c r="F53" s="199"/>
      <c r="G53" s="199"/>
      <c r="H53" s="199"/>
      <c r="I53" s="199"/>
      <c r="J53" s="199"/>
      <c r="K53" s="199"/>
      <c r="L53" s="183" t="s">
        <v>97</v>
      </c>
      <c r="M53" s="183"/>
      <c r="N53" s="183"/>
      <c r="O53" s="183"/>
      <c r="P53" s="183"/>
      <c r="Q53" s="183"/>
    </row>
    <row r="54" spans="1:19" ht="47.1" customHeight="1">
      <c r="A54" s="199"/>
      <c r="B54" s="199"/>
      <c r="C54" s="199"/>
      <c r="D54" s="199"/>
      <c r="E54" s="199"/>
      <c r="F54" s="199"/>
      <c r="G54" s="199"/>
      <c r="H54" s="199"/>
      <c r="I54" s="199"/>
      <c r="J54" s="199"/>
      <c r="K54" s="199"/>
      <c r="L54" s="183" t="s">
        <v>98</v>
      </c>
      <c r="M54" s="183"/>
      <c r="N54" s="183"/>
      <c r="O54" s="183"/>
      <c r="P54" s="183"/>
      <c r="Q54" s="77"/>
    </row>
    <row r="55" spans="1:19" ht="47.1" customHeight="1">
      <c r="A55" s="199"/>
      <c r="B55" s="199"/>
      <c r="C55" s="199"/>
      <c r="D55" s="199"/>
      <c r="E55" s="199"/>
      <c r="F55" s="199"/>
      <c r="G55" s="199"/>
      <c r="H55" s="199"/>
      <c r="I55" s="199"/>
      <c r="J55" s="199"/>
      <c r="K55" s="199"/>
      <c r="L55" s="183" t="s">
        <v>99</v>
      </c>
      <c r="M55" s="183"/>
      <c r="N55" s="183"/>
      <c r="O55" s="183"/>
      <c r="P55" s="183"/>
      <c r="Q55" s="77"/>
      <c r="S55"/>
    </row>
    <row r="56" spans="1:19" ht="47.1" customHeight="1">
      <c r="A56" s="199"/>
      <c r="B56" s="199"/>
      <c r="C56" s="199"/>
      <c r="D56" s="199"/>
      <c r="E56" s="199"/>
      <c r="F56" s="199"/>
      <c r="G56" s="199"/>
      <c r="H56" s="199"/>
      <c r="I56" s="199"/>
      <c r="J56" s="199"/>
      <c r="K56" s="199"/>
      <c r="L56" s="183" t="s">
        <v>100</v>
      </c>
      <c r="M56" s="183"/>
      <c r="N56" s="183"/>
      <c r="O56" s="183"/>
      <c r="P56" s="183"/>
      <c r="Q56" s="77"/>
      <c r="S56"/>
    </row>
    <row r="57" spans="1:19" ht="47.1" customHeight="1">
      <c r="A57" s="199"/>
      <c r="B57" s="199"/>
      <c r="C57" s="199"/>
      <c r="D57" s="199"/>
      <c r="E57" s="199"/>
      <c r="F57" s="199"/>
      <c r="G57" s="199"/>
      <c r="H57" s="199"/>
      <c r="I57" s="199"/>
      <c r="J57" s="199"/>
      <c r="K57" s="199"/>
      <c r="L57" s="183" t="s">
        <v>102</v>
      </c>
      <c r="M57" s="183"/>
      <c r="N57" s="183"/>
      <c r="O57" s="183"/>
      <c r="P57" s="183"/>
      <c r="Q57" s="78" t="s">
        <v>101</v>
      </c>
      <c r="S57"/>
    </row>
    <row r="58" spans="1:19" ht="47.1" customHeight="1">
      <c r="A58" s="199"/>
      <c r="B58" s="199"/>
      <c r="C58" s="199"/>
      <c r="D58" s="199"/>
      <c r="E58" s="199"/>
      <c r="F58" s="199"/>
      <c r="G58" s="199"/>
      <c r="H58" s="199"/>
      <c r="I58" s="199"/>
      <c r="J58" s="199"/>
      <c r="K58" s="199"/>
      <c r="L58" s="183" t="s">
        <v>103</v>
      </c>
      <c r="M58" s="183"/>
      <c r="N58" s="183"/>
      <c r="O58" s="183"/>
      <c r="P58" s="183"/>
      <c r="Q58" s="77"/>
      <c r="S58"/>
    </row>
    <row r="59" spans="1:19" ht="47.1" customHeight="1">
      <c r="A59" s="199"/>
      <c r="B59" s="199"/>
      <c r="C59" s="199"/>
      <c r="D59" s="199"/>
      <c r="E59" s="199"/>
      <c r="F59" s="199"/>
      <c r="G59" s="199"/>
      <c r="H59" s="199"/>
      <c r="I59" s="199"/>
      <c r="J59" s="199"/>
      <c r="K59" s="199"/>
      <c r="L59" s="183" t="s">
        <v>105</v>
      </c>
      <c r="M59" s="183"/>
      <c r="N59" s="183"/>
      <c r="O59" s="183"/>
      <c r="P59" s="183"/>
      <c r="Q59" s="183"/>
    </row>
    <row r="60" spans="1:19" ht="47.1" customHeight="1">
      <c r="A60" s="199"/>
      <c r="B60" s="199"/>
      <c r="C60" s="199"/>
      <c r="D60" s="199"/>
      <c r="E60" s="199"/>
      <c r="F60" s="199"/>
      <c r="G60" s="199"/>
      <c r="H60" s="199"/>
      <c r="I60" s="199"/>
      <c r="J60" s="199"/>
      <c r="K60" s="199"/>
      <c r="L60" s="173" t="s">
        <v>49</v>
      </c>
      <c r="M60" s="173"/>
      <c r="N60" s="173"/>
      <c r="O60" s="173"/>
      <c r="P60" s="173"/>
      <c r="Q60" s="173"/>
    </row>
    <row r="61" spans="1:19" ht="47.1" customHeight="1">
      <c r="A61" s="199"/>
      <c r="B61" s="199"/>
      <c r="C61" s="199"/>
      <c r="D61" s="199"/>
      <c r="E61" s="199"/>
      <c r="F61" s="199"/>
      <c r="G61" s="199"/>
      <c r="H61" s="199"/>
      <c r="I61" s="199"/>
      <c r="J61" s="199"/>
      <c r="K61" s="199"/>
      <c r="L61" s="173" t="s">
        <v>51</v>
      </c>
      <c r="M61" s="173"/>
      <c r="N61" s="173"/>
      <c r="O61" s="173"/>
      <c r="P61" s="173"/>
      <c r="Q61" s="173"/>
    </row>
    <row r="62" spans="1:19" ht="47.25" customHeight="1">
      <c r="A62" s="199"/>
      <c r="B62" s="199"/>
      <c r="C62" s="199"/>
      <c r="D62" s="199"/>
      <c r="E62" s="199"/>
      <c r="F62" s="199"/>
      <c r="G62" s="199"/>
      <c r="H62" s="199"/>
      <c r="I62" s="199"/>
      <c r="J62" s="199"/>
      <c r="K62" s="199"/>
      <c r="L62" s="183" t="s">
        <v>106</v>
      </c>
      <c r="M62" s="183"/>
      <c r="N62" s="37">
        <v>31</v>
      </c>
      <c r="O62" s="37">
        <v>12</v>
      </c>
      <c r="P62" s="198">
        <v>2015</v>
      </c>
      <c r="Q62" s="198"/>
    </row>
    <row r="63" spans="1:19" ht="47.25" customHeight="1">
      <c r="A63" s="199"/>
      <c r="B63" s="199"/>
      <c r="C63" s="199"/>
      <c r="D63" s="199"/>
      <c r="E63" s="199"/>
      <c r="F63" s="199"/>
      <c r="G63" s="199"/>
      <c r="H63" s="199"/>
      <c r="I63" s="199"/>
      <c r="J63" s="199"/>
      <c r="K63" s="199"/>
      <c r="L63" s="183" t="s">
        <v>107</v>
      </c>
      <c r="M63" s="183"/>
      <c r="N63" s="37">
        <v>22</v>
      </c>
      <c r="O63" s="37">
        <v>7</v>
      </c>
      <c r="P63" s="198">
        <v>2016</v>
      </c>
      <c r="Q63" s="198"/>
    </row>
    <row r="64" spans="1:19" ht="26.85" customHeight="1">
      <c r="A64" s="199"/>
      <c r="B64" s="199"/>
      <c r="C64" s="199"/>
      <c r="D64" s="199"/>
      <c r="E64" s="199"/>
      <c r="F64" s="199"/>
      <c r="G64" s="199"/>
      <c r="H64" s="199"/>
      <c r="I64" s="199"/>
      <c r="J64" s="199"/>
      <c r="K64" s="199"/>
      <c r="L64" s="177" t="s">
        <v>108</v>
      </c>
      <c r="M64" s="177"/>
      <c r="N64" s="179" t="s">
        <v>264</v>
      </c>
      <c r="O64" s="179"/>
      <c r="P64" s="179"/>
      <c r="Q64" s="179"/>
    </row>
    <row r="65" ht="12.75" customHeight="1"/>
    <row r="65536" ht="12.75" customHeight="1"/>
  </sheetData>
  <sheetProtection password="C6BA" sheet="1" formatCells="0" formatColumns="0" formatRows="0" insertColumns="0" insertRows="0" insertHyperlinks="0" deleteColumns="0" deleteRows="0" sort="0" autoFilter="0" pivotTables="0"/>
  <mergeCells count="59">
    <mergeCell ref="C1:L3"/>
    <mergeCell ref="M1:Q2"/>
    <mergeCell ref="M3:Q4"/>
    <mergeCell ref="C4:L6"/>
    <mergeCell ref="M5:Q6"/>
    <mergeCell ref="A7:Q7"/>
    <mergeCell ref="A8:Q8"/>
    <mergeCell ref="A9:C9"/>
    <mergeCell ref="D9:H9"/>
    <mergeCell ref="I9:L9"/>
    <mergeCell ref="M9:Q9"/>
    <mergeCell ref="A10:C10"/>
    <mergeCell ref="D10:H10"/>
    <mergeCell ref="I10:L10"/>
    <mergeCell ref="M10:Q10"/>
    <mergeCell ref="A11:C11"/>
    <mergeCell ref="D11:H11"/>
    <mergeCell ref="I11:L11"/>
    <mergeCell ref="M11:Q11"/>
    <mergeCell ref="A12:C12"/>
    <mergeCell ref="D12:H12"/>
    <mergeCell ref="I12:L12"/>
    <mergeCell ref="M12:Q12"/>
    <mergeCell ref="A13:C13"/>
    <mergeCell ref="D13:H13"/>
    <mergeCell ref="I13:L13"/>
    <mergeCell ref="M13:Q13"/>
    <mergeCell ref="A14:C14"/>
    <mergeCell ref="D14:H14"/>
    <mergeCell ref="I14:L14"/>
    <mergeCell ref="M14:Q14"/>
    <mergeCell ref="L56:P56"/>
    <mergeCell ref="A15:C16"/>
    <mergeCell ref="D15:H15"/>
    <mergeCell ref="I15:L15"/>
    <mergeCell ref="M15:Q15"/>
    <mergeCell ref="D16:H16"/>
    <mergeCell ref="I16:L16"/>
    <mergeCell ref="M16:Q16"/>
    <mergeCell ref="A45:K64"/>
    <mergeCell ref="L53:Q53"/>
    <mergeCell ref="L54:P54"/>
    <mergeCell ref="L55:P55"/>
    <mergeCell ref="L63:M63"/>
    <mergeCell ref="P63:Q63"/>
    <mergeCell ref="L64:M64"/>
    <mergeCell ref="N64:Q64"/>
    <mergeCell ref="L57:P57"/>
    <mergeCell ref="L58:P58"/>
    <mergeCell ref="L59:Q59"/>
    <mergeCell ref="L60:Q60"/>
    <mergeCell ref="L61:Q61"/>
    <mergeCell ref="L62:M62"/>
    <mergeCell ref="P62:Q62"/>
    <mergeCell ref="A18:Q18"/>
    <mergeCell ref="A29:A31"/>
    <mergeCell ref="P42:Q42"/>
    <mergeCell ref="P43:Q43"/>
    <mergeCell ref="A44:Q44"/>
  </mergeCells>
  <dataValidations count="3">
    <dataValidation type="list" operator="equal" allowBlank="1" showErrorMessage="1" sqref="M9">
      <formula1>"EFICACIA,EFICIENCIA,EFECTIVIDAD"</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s>
  <printOptions horizontalCentered="1"/>
  <pageMargins left="0.19685039370078741" right="0.23622047244094491" top="0.59055118110236227" bottom="0.19685039370078741" header="0.51181102362204722" footer="0.51181102362204722"/>
  <pageSetup paperSize="14" scale="55" firstPageNumber="0" pageOrder="overThenDown"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zoomScale="75" zoomScaleNormal="75" workbookViewId="0"/>
  </sheetViews>
  <sheetFormatPr baseColWidth="10" defaultRowHeight="14.65" customHeight="1"/>
  <cols>
    <col min="1" max="1" width="10.7109375" style="1" customWidth="1"/>
    <col min="2" max="2" width="17.7109375" style="1" customWidth="1"/>
    <col min="3" max="3" width="13.85546875" style="1" customWidth="1"/>
    <col min="4" max="17" width="10.7109375" style="1" customWidth="1"/>
    <col min="18" max="18" width="2.7109375" style="1" customWidth="1"/>
    <col min="19"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row>
    <row r="2" spans="1:256" s="3" customFormat="1" ht="13.9" customHeight="1">
      <c r="A2" s="179"/>
      <c r="B2" s="179"/>
      <c r="C2" s="179"/>
      <c r="D2" s="179"/>
      <c r="E2" s="179"/>
      <c r="F2" s="179"/>
      <c r="G2" s="179"/>
      <c r="H2" s="179"/>
      <c r="I2" s="179"/>
      <c r="J2" s="179"/>
      <c r="K2" s="179"/>
      <c r="L2" s="179"/>
      <c r="M2" s="179"/>
      <c r="N2" s="179"/>
      <c r="O2" s="179"/>
      <c r="P2" s="179"/>
      <c r="Q2" s="179"/>
    </row>
    <row r="3" spans="1:256" s="3" customFormat="1" ht="13.9" customHeight="1">
      <c r="A3" s="179"/>
      <c r="B3" s="179"/>
      <c r="C3" s="179"/>
      <c r="D3" s="179"/>
      <c r="E3" s="179"/>
      <c r="F3" s="179"/>
      <c r="G3" s="179"/>
      <c r="H3" s="179"/>
      <c r="I3" s="179"/>
      <c r="J3" s="179"/>
      <c r="K3" s="179"/>
      <c r="L3" s="179"/>
      <c r="M3" s="179"/>
      <c r="N3" s="179"/>
      <c r="O3" s="179"/>
      <c r="P3" s="179"/>
      <c r="Q3" s="179"/>
    </row>
    <row r="4" spans="1:256" s="3" customFormat="1" ht="13.9" customHeight="1">
      <c r="A4" s="179" t="s">
        <v>1</v>
      </c>
      <c r="B4" s="179"/>
      <c r="C4" s="179"/>
      <c r="D4" s="179"/>
      <c r="E4" s="179"/>
      <c r="F4" s="179"/>
      <c r="G4" s="179"/>
      <c r="H4" s="179"/>
      <c r="I4" s="179"/>
      <c r="J4" s="179"/>
      <c r="K4" s="179"/>
      <c r="L4" s="179"/>
      <c r="M4" s="179"/>
      <c r="N4" s="179"/>
      <c r="O4" s="179"/>
      <c r="P4" s="179"/>
      <c r="Q4" s="179"/>
    </row>
    <row r="5" spans="1:256" s="3" customFormat="1" ht="13.9" customHeight="1">
      <c r="A5" s="179"/>
      <c r="B5" s="179"/>
      <c r="C5" s="179"/>
      <c r="D5" s="179"/>
      <c r="E5" s="179"/>
      <c r="F5" s="179"/>
      <c r="G5" s="179"/>
      <c r="H5" s="179"/>
      <c r="I5" s="179"/>
      <c r="J5" s="179"/>
      <c r="K5" s="179"/>
      <c r="L5" s="179"/>
      <c r="M5" s="179"/>
      <c r="N5" s="179"/>
      <c r="O5" s="179"/>
      <c r="P5" s="179"/>
      <c r="Q5" s="179"/>
    </row>
    <row r="6" spans="1:256" s="3" customFormat="1" ht="13.9" customHeight="1">
      <c r="A6" s="179"/>
      <c r="B6" s="179"/>
      <c r="C6" s="179"/>
      <c r="D6" s="179"/>
      <c r="E6" s="179"/>
      <c r="F6" s="179"/>
      <c r="G6" s="179"/>
      <c r="H6" s="179"/>
      <c r="I6" s="179"/>
      <c r="J6" s="179"/>
      <c r="K6" s="179"/>
      <c r="L6" s="179"/>
      <c r="M6" s="179"/>
      <c r="N6" s="179"/>
      <c r="O6" s="179"/>
      <c r="P6" s="179"/>
      <c r="Q6" s="179"/>
    </row>
    <row r="7" spans="1:256" s="3" customFormat="1" ht="12.75" customHeight="1">
      <c r="A7" s="180"/>
      <c r="B7" s="180"/>
      <c r="C7" s="180"/>
      <c r="D7" s="180"/>
      <c r="E7" s="180"/>
      <c r="F7" s="180"/>
      <c r="G7" s="180"/>
      <c r="H7" s="180"/>
      <c r="I7" s="180"/>
      <c r="J7" s="180"/>
      <c r="K7" s="180"/>
      <c r="L7" s="180"/>
      <c r="M7" s="180"/>
      <c r="N7" s="180"/>
      <c r="O7" s="180"/>
      <c r="P7" s="180"/>
      <c r="Q7" s="180"/>
    </row>
    <row r="8" spans="1:256" ht="30" customHeight="1">
      <c r="A8" s="174" t="s">
        <v>2</v>
      </c>
      <c r="B8" s="174"/>
      <c r="C8" s="174"/>
      <c r="D8" s="174"/>
      <c r="E8" s="174"/>
      <c r="F8" s="174"/>
      <c r="G8" s="174"/>
      <c r="H8" s="174"/>
      <c r="I8" s="174"/>
      <c r="J8" s="174"/>
      <c r="K8" s="174"/>
      <c r="L8" s="174"/>
      <c r="M8" s="174"/>
      <c r="N8" s="174"/>
      <c r="O8" s="174"/>
      <c r="P8" s="174"/>
      <c r="Q8" s="174"/>
    </row>
    <row r="9" spans="1:256" ht="42" customHeight="1">
      <c r="A9" s="177" t="s">
        <v>3</v>
      </c>
      <c r="B9" s="177"/>
      <c r="C9" s="177"/>
      <c r="D9" s="177"/>
      <c r="E9" s="205" t="s">
        <v>265</v>
      </c>
      <c r="F9" s="205"/>
      <c r="G9" s="205"/>
      <c r="H9" s="205"/>
      <c r="I9" s="205"/>
      <c r="J9" s="205"/>
      <c r="K9" s="177" t="s">
        <v>5</v>
      </c>
      <c r="L9" s="177"/>
      <c r="M9" s="177"/>
      <c r="N9" s="186" t="s">
        <v>111</v>
      </c>
      <c r="O9" s="186"/>
      <c r="P9" s="186"/>
      <c r="Q9" s="186"/>
    </row>
    <row r="10" spans="1:256" ht="42" customHeight="1">
      <c r="A10" s="177" t="s">
        <v>7</v>
      </c>
      <c r="B10" s="177"/>
      <c r="C10" s="177"/>
      <c r="D10" s="177"/>
      <c r="E10" s="178" t="s">
        <v>8</v>
      </c>
      <c r="F10" s="178"/>
      <c r="G10" s="178"/>
      <c r="H10" s="178"/>
      <c r="I10" s="178"/>
      <c r="J10" s="178"/>
      <c r="K10" s="177" t="s">
        <v>9</v>
      </c>
      <c r="L10" s="177"/>
      <c r="M10" s="177"/>
      <c r="N10" s="186" t="s">
        <v>10</v>
      </c>
      <c r="O10" s="186"/>
      <c r="P10" s="186"/>
      <c r="Q10" s="186"/>
    </row>
    <row r="11" spans="1:256" ht="52.9" customHeight="1">
      <c r="A11" s="177" t="s">
        <v>11</v>
      </c>
      <c r="B11" s="177"/>
      <c r="C11" s="177"/>
      <c r="D11" s="177"/>
      <c r="E11" s="178" t="s">
        <v>266</v>
      </c>
      <c r="F11" s="178"/>
      <c r="G11" s="178"/>
      <c r="H11" s="178"/>
      <c r="I11" s="178"/>
      <c r="J11" s="178"/>
      <c r="K11" s="177" t="s">
        <v>32</v>
      </c>
      <c r="L11" s="177"/>
      <c r="M11" s="177"/>
      <c r="N11" s="186" t="s">
        <v>33</v>
      </c>
      <c r="O11" s="186"/>
      <c r="P11" s="186"/>
      <c r="Q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c r="P13" s="174"/>
      <c r="Q13" s="174"/>
    </row>
    <row r="14" spans="1:256" ht="30" customHeight="1">
      <c r="A14" s="4" t="s">
        <v>53</v>
      </c>
      <c r="B14" s="6"/>
      <c r="C14" s="6" t="s">
        <v>267</v>
      </c>
      <c r="D14" s="6" t="s">
        <v>55</v>
      </c>
      <c r="E14" s="4" t="s">
        <v>56</v>
      </c>
      <c r="F14" s="4" t="s">
        <v>57</v>
      </c>
      <c r="G14" s="4" t="s">
        <v>58</v>
      </c>
      <c r="H14" s="4" t="s">
        <v>59</v>
      </c>
      <c r="I14" s="4" t="s">
        <v>60</v>
      </c>
      <c r="J14" s="4" t="s">
        <v>61</v>
      </c>
      <c r="K14" s="4" t="s">
        <v>62</v>
      </c>
      <c r="L14" s="4" t="s">
        <v>63</v>
      </c>
      <c r="M14" s="4" t="s">
        <v>64</v>
      </c>
      <c r="N14" s="4" t="s">
        <v>65</v>
      </c>
      <c r="O14" s="4" t="s">
        <v>66</v>
      </c>
      <c r="P14" s="177" t="s">
        <v>268</v>
      </c>
      <c r="Q14" s="177"/>
    </row>
    <row r="15" spans="1:256" ht="44.85" customHeight="1">
      <c r="A15" s="173">
        <v>2015</v>
      </c>
      <c r="B15" s="6" t="s">
        <v>269</v>
      </c>
      <c r="C15" s="119"/>
      <c r="D15" s="9">
        <v>122</v>
      </c>
      <c r="E15" s="9">
        <v>122</v>
      </c>
      <c r="F15" s="9">
        <v>123</v>
      </c>
      <c r="G15" s="9">
        <v>122</v>
      </c>
      <c r="H15" s="9">
        <v>122</v>
      </c>
      <c r="I15" s="9">
        <v>122</v>
      </c>
      <c r="J15" s="9">
        <v>160</v>
      </c>
      <c r="K15" s="9">
        <v>172</v>
      </c>
      <c r="L15" s="9">
        <v>195</v>
      </c>
      <c r="M15" s="9">
        <v>187</v>
      </c>
      <c r="N15" s="9">
        <v>200</v>
      </c>
      <c r="O15" s="9">
        <v>105</v>
      </c>
      <c r="P15" s="202">
        <f t="shared" ref="P15:P38" si="0">AVERAGE(D15,F15,G15,H15,I15,J15,K15,L15,M15,N15,O15,D15)</f>
        <v>146</v>
      </c>
      <c r="Q15" s="202"/>
    </row>
    <row r="16" spans="1:256" ht="44.85" customHeight="1">
      <c r="A16" s="173"/>
      <c r="B16" s="8" t="s">
        <v>270</v>
      </c>
      <c r="C16" s="119"/>
      <c r="D16" s="9">
        <v>9</v>
      </c>
      <c r="E16" s="9">
        <v>9</v>
      </c>
      <c r="F16" s="9">
        <v>9</v>
      </c>
      <c r="G16" s="9">
        <v>9</v>
      </c>
      <c r="H16" s="9">
        <v>9</v>
      </c>
      <c r="I16" s="9">
        <v>9</v>
      </c>
      <c r="J16" s="9">
        <v>9</v>
      </c>
      <c r="K16" s="9">
        <v>9</v>
      </c>
      <c r="L16" s="9">
        <v>9</v>
      </c>
      <c r="M16" s="9">
        <v>9</v>
      </c>
      <c r="N16" s="9">
        <v>9</v>
      </c>
      <c r="O16" s="9">
        <v>9</v>
      </c>
      <c r="P16" s="202">
        <f t="shared" si="0"/>
        <v>9</v>
      </c>
      <c r="Q16" s="202"/>
    </row>
    <row r="17" spans="1:17" ht="44.85" customHeight="1">
      <c r="A17" s="173"/>
      <c r="B17" s="8" t="s">
        <v>271</v>
      </c>
      <c r="C17" s="119"/>
      <c r="D17" s="85">
        <f t="shared" ref="D17:O17" si="1">+D15/D16</f>
        <v>13.555555555555555</v>
      </c>
      <c r="E17" s="85">
        <f t="shared" si="1"/>
        <v>13.555555555555555</v>
      </c>
      <c r="F17" s="85">
        <f t="shared" si="1"/>
        <v>13.666666666666666</v>
      </c>
      <c r="G17" s="85">
        <f t="shared" si="1"/>
        <v>13.555555555555555</v>
      </c>
      <c r="H17" s="85">
        <f t="shared" si="1"/>
        <v>13.555555555555555</v>
      </c>
      <c r="I17" s="85">
        <f t="shared" si="1"/>
        <v>13.555555555555555</v>
      </c>
      <c r="J17" s="85">
        <f t="shared" si="1"/>
        <v>17.777777777777779</v>
      </c>
      <c r="K17" s="85">
        <f t="shared" si="1"/>
        <v>19.111111111111111</v>
      </c>
      <c r="L17" s="85">
        <f t="shared" si="1"/>
        <v>21.666666666666668</v>
      </c>
      <c r="M17" s="85">
        <f t="shared" si="1"/>
        <v>20.777777777777779</v>
      </c>
      <c r="N17" s="85">
        <f t="shared" si="1"/>
        <v>22.222222222222221</v>
      </c>
      <c r="O17" s="85">
        <f t="shared" si="1"/>
        <v>11.666666666666666</v>
      </c>
      <c r="P17" s="204">
        <f t="shared" si="0"/>
        <v>16.222222222222221</v>
      </c>
      <c r="Q17" s="204"/>
    </row>
    <row r="18" spans="1:17" ht="44.85" customHeight="1">
      <c r="A18" s="173"/>
      <c r="B18" s="6" t="s">
        <v>272</v>
      </c>
      <c r="C18" s="119"/>
      <c r="D18" s="9">
        <f t="shared" ref="D18:O18" si="2">+D20+D21+D22+D23+D24+D25+D26+D27+D28+D29+D30+D31</f>
        <v>1241</v>
      </c>
      <c r="E18" s="9">
        <f t="shared" si="2"/>
        <v>0</v>
      </c>
      <c r="F18" s="9">
        <f t="shared" si="2"/>
        <v>1297</v>
      </c>
      <c r="G18" s="9">
        <f t="shared" si="2"/>
        <v>0</v>
      </c>
      <c r="H18" s="9">
        <f t="shared" si="2"/>
        <v>1244</v>
      </c>
      <c r="I18" s="9">
        <f t="shared" si="2"/>
        <v>0</v>
      </c>
      <c r="J18" s="9">
        <f t="shared" si="2"/>
        <v>1581</v>
      </c>
      <c r="K18" s="9">
        <f t="shared" si="2"/>
        <v>0</v>
      </c>
      <c r="L18" s="9">
        <f t="shared" si="2"/>
        <v>1464</v>
      </c>
      <c r="M18" s="9">
        <f t="shared" si="2"/>
        <v>0</v>
      </c>
      <c r="N18" s="9">
        <f t="shared" si="2"/>
        <v>1388</v>
      </c>
      <c r="O18" s="9">
        <f t="shared" si="2"/>
        <v>0</v>
      </c>
      <c r="P18" s="202">
        <f t="shared" si="0"/>
        <v>788</v>
      </c>
      <c r="Q18" s="202"/>
    </row>
    <row r="19" spans="1:17" ht="44.85" customHeight="1">
      <c r="A19" s="173"/>
      <c r="B19" s="8" t="s">
        <v>271</v>
      </c>
      <c r="C19" s="119"/>
      <c r="D19" s="85">
        <f t="shared" ref="D19:O19" si="3">+D18/D16</f>
        <v>137.88888888888889</v>
      </c>
      <c r="E19" s="85">
        <f t="shared" si="3"/>
        <v>0</v>
      </c>
      <c r="F19" s="85">
        <f t="shared" si="3"/>
        <v>144.11111111111111</v>
      </c>
      <c r="G19" s="85">
        <f t="shared" si="3"/>
        <v>0</v>
      </c>
      <c r="H19" s="85">
        <f t="shared" si="3"/>
        <v>138.22222222222223</v>
      </c>
      <c r="I19" s="85">
        <f t="shared" si="3"/>
        <v>0</v>
      </c>
      <c r="J19" s="85">
        <f t="shared" si="3"/>
        <v>175.66666666666666</v>
      </c>
      <c r="K19" s="85">
        <f t="shared" si="3"/>
        <v>0</v>
      </c>
      <c r="L19" s="85">
        <f t="shared" si="3"/>
        <v>162.66666666666666</v>
      </c>
      <c r="M19" s="85">
        <f t="shared" si="3"/>
        <v>0</v>
      </c>
      <c r="N19" s="85">
        <f t="shared" si="3"/>
        <v>154.22222222222223</v>
      </c>
      <c r="O19" s="85">
        <f t="shared" si="3"/>
        <v>0</v>
      </c>
      <c r="P19" s="204">
        <f t="shared" si="0"/>
        <v>87.555555555555557</v>
      </c>
      <c r="Q19" s="204"/>
    </row>
    <row r="20" spans="1:17" ht="44.85" customHeight="1">
      <c r="A20" s="173"/>
      <c r="B20" s="8" t="s">
        <v>273</v>
      </c>
      <c r="C20" s="119"/>
      <c r="D20" s="9">
        <v>81</v>
      </c>
      <c r="E20" s="9"/>
      <c r="F20" s="9">
        <v>102</v>
      </c>
      <c r="G20" s="9"/>
      <c r="H20" s="9">
        <v>97</v>
      </c>
      <c r="I20" s="9"/>
      <c r="J20" s="9">
        <v>82</v>
      </c>
      <c r="K20" s="9"/>
      <c r="L20" s="9">
        <v>91</v>
      </c>
      <c r="M20" s="9"/>
      <c r="N20" s="9">
        <v>83</v>
      </c>
      <c r="O20" s="34"/>
      <c r="P20" s="201">
        <f t="shared" si="0"/>
        <v>88.142857142857139</v>
      </c>
      <c r="Q20" s="201"/>
    </row>
    <row r="21" spans="1:17" ht="44.85" customHeight="1">
      <c r="A21" s="173"/>
      <c r="B21" s="8" t="s">
        <v>274</v>
      </c>
      <c r="C21" s="119"/>
      <c r="D21" s="9">
        <v>69</v>
      </c>
      <c r="E21" s="9"/>
      <c r="F21" s="9">
        <v>90</v>
      </c>
      <c r="G21" s="9"/>
      <c r="H21" s="9">
        <v>91</v>
      </c>
      <c r="I21" s="9"/>
      <c r="J21" s="9">
        <v>77</v>
      </c>
      <c r="K21" s="9"/>
      <c r="L21" s="9">
        <v>85</v>
      </c>
      <c r="M21" s="9"/>
      <c r="N21" s="9">
        <v>80</v>
      </c>
      <c r="O21" s="34"/>
      <c r="P21" s="201">
        <f t="shared" si="0"/>
        <v>80.142857142857139</v>
      </c>
      <c r="Q21" s="201"/>
    </row>
    <row r="22" spans="1:17" ht="44.85" customHeight="1">
      <c r="A22" s="173"/>
      <c r="B22" s="8" t="s">
        <v>275</v>
      </c>
      <c r="C22" s="119"/>
      <c r="D22" s="9">
        <v>0</v>
      </c>
      <c r="E22" s="9"/>
      <c r="F22" s="9">
        <v>0</v>
      </c>
      <c r="G22" s="9"/>
      <c r="H22" s="9">
        <v>0</v>
      </c>
      <c r="I22" s="9"/>
      <c r="J22" s="9">
        <v>0</v>
      </c>
      <c r="K22" s="9"/>
      <c r="L22" s="9">
        <v>0</v>
      </c>
      <c r="M22" s="9"/>
      <c r="N22" s="9">
        <v>0</v>
      </c>
      <c r="O22" s="34"/>
      <c r="P22" s="201">
        <f t="shared" si="0"/>
        <v>0</v>
      </c>
      <c r="Q22" s="201"/>
    </row>
    <row r="23" spans="1:17" ht="44.85" customHeight="1">
      <c r="A23" s="173"/>
      <c r="B23" s="8" t="s">
        <v>276</v>
      </c>
      <c r="C23" s="119"/>
      <c r="D23" s="9">
        <v>624</v>
      </c>
      <c r="E23" s="9"/>
      <c r="F23" s="9">
        <v>635</v>
      </c>
      <c r="G23" s="9"/>
      <c r="H23" s="9">
        <v>611</v>
      </c>
      <c r="I23" s="9"/>
      <c r="J23" s="9">
        <v>785</v>
      </c>
      <c r="K23" s="9"/>
      <c r="L23" s="9">
        <v>753</v>
      </c>
      <c r="M23" s="9"/>
      <c r="N23" s="9">
        <v>674</v>
      </c>
      <c r="O23" s="34"/>
      <c r="P23" s="201">
        <f t="shared" si="0"/>
        <v>672.28571428571433</v>
      </c>
      <c r="Q23" s="201"/>
    </row>
    <row r="24" spans="1:17" ht="44.85" customHeight="1">
      <c r="A24" s="173"/>
      <c r="B24" s="8" t="s">
        <v>277</v>
      </c>
      <c r="C24" s="119"/>
      <c r="D24" s="202">
        <v>62</v>
      </c>
      <c r="E24" s="9"/>
      <c r="F24" s="202">
        <v>89</v>
      </c>
      <c r="G24" s="9"/>
      <c r="H24" s="202">
        <v>94</v>
      </c>
      <c r="I24" s="9"/>
      <c r="J24" s="202">
        <v>94</v>
      </c>
      <c r="K24" s="9"/>
      <c r="L24" s="202">
        <v>103</v>
      </c>
      <c r="M24" s="9"/>
      <c r="N24" s="202">
        <v>173</v>
      </c>
      <c r="O24" s="34"/>
      <c r="P24" s="201">
        <f t="shared" si="0"/>
        <v>96.714285714285708</v>
      </c>
      <c r="Q24" s="201"/>
    </row>
    <row r="25" spans="1:17" ht="44.85" customHeight="1">
      <c r="A25" s="173"/>
      <c r="B25" s="8" t="s">
        <v>278</v>
      </c>
      <c r="C25" s="119"/>
      <c r="D25" s="202"/>
      <c r="E25" s="9"/>
      <c r="F25" s="202"/>
      <c r="G25" s="9"/>
      <c r="H25" s="202"/>
      <c r="I25" s="9"/>
      <c r="J25" s="202"/>
      <c r="K25" s="9"/>
      <c r="L25" s="202"/>
      <c r="M25" s="9"/>
      <c r="N25" s="202"/>
      <c r="O25" s="34"/>
      <c r="P25" s="201" t="e">
        <f t="shared" si="0"/>
        <v>#DIV/0!</v>
      </c>
      <c r="Q25" s="201"/>
    </row>
    <row r="26" spans="1:17" ht="44.85" customHeight="1">
      <c r="A26" s="173"/>
      <c r="B26" s="8" t="s">
        <v>279</v>
      </c>
      <c r="C26" s="119"/>
      <c r="D26" s="9">
        <v>342</v>
      </c>
      <c r="E26" s="9"/>
      <c r="F26" s="9">
        <v>327</v>
      </c>
      <c r="G26" s="9"/>
      <c r="H26" s="9">
        <v>322</v>
      </c>
      <c r="I26" s="9"/>
      <c r="J26" s="9">
        <v>492</v>
      </c>
      <c r="K26" s="9"/>
      <c r="L26" s="9">
        <v>399</v>
      </c>
      <c r="M26" s="9"/>
      <c r="N26" s="9">
        <v>332</v>
      </c>
      <c r="O26" s="34"/>
      <c r="P26" s="201">
        <f t="shared" si="0"/>
        <v>365.14285714285717</v>
      </c>
      <c r="Q26" s="201"/>
    </row>
    <row r="27" spans="1:17" ht="44.85" customHeight="1">
      <c r="A27" s="173"/>
      <c r="B27" s="8" t="s">
        <v>280</v>
      </c>
      <c r="C27" s="119"/>
      <c r="D27" s="9">
        <v>0</v>
      </c>
      <c r="E27" s="9"/>
      <c r="F27" s="9">
        <v>0</v>
      </c>
      <c r="G27" s="9"/>
      <c r="H27" s="9">
        <v>0</v>
      </c>
      <c r="I27" s="9"/>
      <c r="J27" s="9">
        <v>0</v>
      </c>
      <c r="K27" s="9"/>
      <c r="L27" s="9">
        <v>0</v>
      </c>
      <c r="M27" s="9"/>
      <c r="N27" s="9">
        <v>0</v>
      </c>
      <c r="O27" s="34"/>
      <c r="P27" s="201">
        <f t="shared" si="0"/>
        <v>0</v>
      </c>
      <c r="Q27" s="201"/>
    </row>
    <row r="28" spans="1:17" ht="44.85" customHeight="1">
      <c r="A28" s="173"/>
      <c r="B28" s="8" t="s">
        <v>281</v>
      </c>
      <c r="C28" s="119"/>
      <c r="D28" s="9">
        <v>0</v>
      </c>
      <c r="E28" s="9"/>
      <c r="F28" s="9">
        <v>0</v>
      </c>
      <c r="G28" s="9"/>
      <c r="H28" s="9">
        <v>0</v>
      </c>
      <c r="I28" s="9"/>
      <c r="J28" s="9">
        <v>0</v>
      </c>
      <c r="K28" s="9"/>
      <c r="L28" s="9">
        <v>0</v>
      </c>
      <c r="M28" s="9"/>
      <c r="N28" s="9">
        <v>0</v>
      </c>
      <c r="O28" s="34"/>
      <c r="P28" s="201">
        <f t="shared" si="0"/>
        <v>0</v>
      </c>
      <c r="Q28" s="201"/>
    </row>
    <row r="29" spans="1:17" ht="44.85" customHeight="1">
      <c r="A29" s="173"/>
      <c r="B29" s="8" t="s">
        <v>282</v>
      </c>
      <c r="C29" s="119"/>
      <c r="D29" s="9">
        <v>0</v>
      </c>
      <c r="E29" s="9"/>
      <c r="F29" s="9">
        <v>0</v>
      </c>
      <c r="G29" s="9"/>
      <c r="H29" s="9">
        <v>0</v>
      </c>
      <c r="I29" s="9"/>
      <c r="J29" s="9">
        <v>0</v>
      </c>
      <c r="K29" s="9"/>
      <c r="L29" s="9">
        <v>0</v>
      </c>
      <c r="M29" s="9"/>
      <c r="N29" s="9">
        <v>0</v>
      </c>
      <c r="O29" s="34"/>
      <c r="P29" s="201">
        <f t="shared" si="0"/>
        <v>0</v>
      </c>
      <c r="Q29" s="201"/>
    </row>
    <row r="30" spans="1:17" ht="44.85" customHeight="1">
      <c r="A30" s="173"/>
      <c r="B30" s="8" t="s">
        <v>283</v>
      </c>
      <c r="C30" s="119"/>
      <c r="D30" s="9">
        <v>0</v>
      </c>
      <c r="E30" s="9"/>
      <c r="F30" s="9">
        <v>0</v>
      </c>
      <c r="G30" s="9"/>
      <c r="H30" s="9">
        <v>0</v>
      </c>
      <c r="I30" s="9"/>
      <c r="J30" s="9">
        <v>0</v>
      </c>
      <c r="K30" s="9"/>
      <c r="L30" s="9">
        <v>0</v>
      </c>
      <c r="M30" s="9"/>
      <c r="N30" s="9">
        <v>0</v>
      </c>
      <c r="O30" s="34"/>
      <c r="P30" s="201">
        <f t="shared" si="0"/>
        <v>0</v>
      </c>
      <c r="Q30" s="201"/>
    </row>
    <row r="31" spans="1:17" ht="44.85" customHeight="1">
      <c r="A31" s="173"/>
      <c r="B31" s="8" t="s">
        <v>284</v>
      </c>
      <c r="C31" s="119"/>
      <c r="D31" s="9">
        <v>63</v>
      </c>
      <c r="E31" s="9"/>
      <c r="F31" s="9">
        <v>54</v>
      </c>
      <c r="G31" s="9"/>
      <c r="H31" s="9">
        <v>29</v>
      </c>
      <c r="I31" s="9"/>
      <c r="J31" s="9">
        <v>51</v>
      </c>
      <c r="K31" s="9"/>
      <c r="L31" s="9">
        <v>33</v>
      </c>
      <c r="M31" s="9"/>
      <c r="N31" s="9">
        <v>46</v>
      </c>
      <c r="O31" s="34"/>
      <c r="P31" s="201">
        <f t="shared" si="0"/>
        <v>48.428571428571431</v>
      </c>
      <c r="Q31" s="201"/>
    </row>
    <row r="32" spans="1:17" ht="44.85" customHeight="1">
      <c r="A32" s="173"/>
      <c r="B32" s="6" t="s">
        <v>285</v>
      </c>
      <c r="C32" s="119"/>
      <c r="D32" s="32">
        <f t="shared" ref="D32:O32" si="4">+D34+D35+D36+D37+D38+D39+D40+D41+D42+D43+D44+D45</f>
        <v>48640</v>
      </c>
      <c r="E32" s="32">
        <f t="shared" si="4"/>
        <v>49333</v>
      </c>
      <c r="F32" s="32">
        <f t="shared" si="4"/>
        <v>50285</v>
      </c>
      <c r="G32" s="32">
        <f t="shared" si="4"/>
        <v>51410</v>
      </c>
      <c r="H32" s="32">
        <f t="shared" si="4"/>
        <v>50309</v>
      </c>
      <c r="I32" s="32">
        <f t="shared" si="4"/>
        <v>51487</v>
      </c>
      <c r="J32" s="32">
        <f t="shared" si="4"/>
        <v>49557</v>
      </c>
      <c r="K32" s="32">
        <f t="shared" si="4"/>
        <v>52205</v>
      </c>
      <c r="L32" s="32">
        <f t="shared" si="4"/>
        <v>51095</v>
      </c>
      <c r="M32" s="32">
        <f t="shared" si="4"/>
        <v>53477</v>
      </c>
      <c r="N32" s="32">
        <f t="shared" si="4"/>
        <v>56314</v>
      </c>
      <c r="O32" s="32">
        <f t="shared" si="4"/>
        <v>51288.4</v>
      </c>
      <c r="P32" s="203">
        <f t="shared" si="0"/>
        <v>51225.616666666669</v>
      </c>
      <c r="Q32" s="203"/>
    </row>
    <row r="33" spans="1:17" ht="44.85" customHeight="1">
      <c r="A33" s="173"/>
      <c r="B33" s="8" t="s">
        <v>271</v>
      </c>
      <c r="C33" s="119"/>
      <c r="D33" s="85">
        <f t="shared" ref="D33:O33" si="5">+D32/D16</f>
        <v>5404.4444444444443</v>
      </c>
      <c r="E33" s="85">
        <f t="shared" si="5"/>
        <v>5481.4444444444443</v>
      </c>
      <c r="F33" s="85">
        <f t="shared" si="5"/>
        <v>5587.2222222222226</v>
      </c>
      <c r="G33" s="85">
        <f t="shared" si="5"/>
        <v>5712.2222222222226</v>
      </c>
      <c r="H33" s="85">
        <f t="shared" si="5"/>
        <v>5589.8888888888887</v>
      </c>
      <c r="I33" s="85">
        <f t="shared" si="5"/>
        <v>5720.7777777777774</v>
      </c>
      <c r="J33" s="85">
        <f t="shared" si="5"/>
        <v>5506.333333333333</v>
      </c>
      <c r="K33" s="85">
        <f t="shared" si="5"/>
        <v>5800.5555555555557</v>
      </c>
      <c r="L33" s="85">
        <f t="shared" si="5"/>
        <v>5677.2222222222226</v>
      </c>
      <c r="M33" s="85">
        <f t="shared" si="5"/>
        <v>5941.8888888888887</v>
      </c>
      <c r="N33" s="85">
        <f t="shared" si="5"/>
        <v>6257.1111111111113</v>
      </c>
      <c r="O33" s="85">
        <f t="shared" si="5"/>
        <v>5698.7111111111117</v>
      </c>
      <c r="P33" s="201">
        <f t="shared" si="0"/>
        <v>5691.7351851851854</v>
      </c>
      <c r="Q33" s="201"/>
    </row>
    <row r="34" spans="1:17" ht="44.85" customHeight="1">
      <c r="A34" s="173"/>
      <c r="B34" s="8" t="s">
        <v>273</v>
      </c>
      <c r="C34" s="119"/>
      <c r="D34" s="9">
        <v>7605</v>
      </c>
      <c r="E34" s="9">
        <v>7064</v>
      </c>
      <c r="F34" s="9">
        <v>7045</v>
      </c>
      <c r="G34" s="9">
        <v>7717</v>
      </c>
      <c r="H34" s="9">
        <v>6677</v>
      </c>
      <c r="I34" s="9">
        <v>7946</v>
      </c>
      <c r="J34" s="9">
        <v>7723</v>
      </c>
      <c r="K34" s="9">
        <v>7799</v>
      </c>
      <c r="L34" s="9">
        <v>7475</v>
      </c>
      <c r="M34" s="9">
        <v>9330</v>
      </c>
      <c r="N34" s="9">
        <v>8805</v>
      </c>
      <c r="O34" s="9">
        <v>7612</v>
      </c>
      <c r="P34" s="201">
        <f t="shared" si="0"/>
        <v>7778.25</v>
      </c>
      <c r="Q34" s="201"/>
    </row>
    <row r="35" spans="1:17" ht="44.85" customHeight="1">
      <c r="A35" s="173"/>
      <c r="B35" s="8" t="s">
        <v>274</v>
      </c>
      <c r="C35" s="119"/>
      <c r="D35" s="9">
        <v>5000</v>
      </c>
      <c r="E35" s="9">
        <v>5260</v>
      </c>
      <c r="F35" s="9">
        <v>5200</v>
      </c>
      <c r="G35" s="9">
        <v>5740</v>
      </c>
      <c r="H35" s="9">
        <v>4980</v>
      </c>
      <c r="I35" s="9">
        <v>5320</v>
      </c>
      <c r="J35" s="9">
        <v>5140</v>
      </c>
      <c r="K35" s="9">
        <v>4840</v>
      </c>
      <c r="L35" s="9">
        <v>4300</v>
      </c>
      <c r="M35" s="9">
        <v>4680</v>
      </c>
      <c r="N35" s="9">
        <v>4140</v>
      </c>
      <c r="O35" s="9">
        <v>4360</v>
      </c>
      <c r="P35" s="201">
        <f t="shared" si="0"/>
        <v>4891.666666666667</v>
      </c>
      <c r="Q35" s="201"/>
    </row>
    <row r="36" spans="1:17" ht="44.85" customHeight="1">
      <c r="A36" s="173"/>
      <c r="B36" s="8" t="s">
        <v>275</v>
      </c>
      <c r="C36" s="119"/>
      <c r="D36" s="9">
        <v>1959</v>
      </c>
      <c r="E36" s="9">
        <v>1773</v>
      </c>
      <c r="F36" s="9">
        <v>1689</v>
      </c>
      <c r="G36" s="9">
        <v>1950</v>
      </c>
      <c r="H36" s="9">
        <v>1918</v>
      </c>
      <c r="I36" s="9">
        <v>2100</v>
      </c>
      <c r="J36" s="9">
        <v>2056</v>
      </c>
      <c r="K36" s="9">
        <v>2109</v>
      </c>
      <c r="L36" s="9">
        <v>2140</v>
      </c>
      <c r="M36" s="9">
        <v>2447</v>
      </c>
      <c r="N36" s="9">
        <v>2613</v>
      </c>
      <c r="O36" s="9">
        <v>2681</v>
      </c>
      <c r="P36" s="201">
        <f t="shared" si="0"/>
        <v>2135.0833333333335</v>
      </c>
      <c r="Q36" s="201"/>
    </row>
    <row r="37" spans="1:17" ht="44.85" customHeight="1">
      <c r="A37" s="173"/>
      <c r="B37" s="8" t="s">
        <v>276</v>
      </c>
      <c r="C37" s="119"/>
      <c r="D37" s="32">
        <v>12468</v>
      </c>
      <c r="E37" s="32">
        <v>12867</v>
      </c>
      <c r="F37" s="32">
        <v>13793</v>
      </c>
      <c r="G37" s="32">
        <v>12873</v>
      </c>
      <c r="H37" s="32">
        <v>13021</v>
      </c>
      <c r="I37" s="32">
        <v>13539</v>
      </c>
      <c r="J37" s="32">
        <v>13520</v>
      </c>
      <c r="K37" s="32">
        <v>14480</v>
      </c>
      <c r="L37" s="32">
        <v>13600</v>
      </c>
      <c r="M37" s="32">
        <v>14160</v>
      </c>
      <c r="N37" s="32">
        <v>15120</v>
      </c>
      <c r="O37" s="32">
        <v>13696</v>
      </c>
      <c r="P37" s="203">
        <f t="shared" si="0"/>
        <v>13561.5</v>
      </c>
      <c r="Q37" s="203"/>
    </row>
    <row r="38" spans="1:17" ht="44.85" customHeight="1">
      <c r="A38" s="173"/>
      <c r="B38" s="8" t="s">
        <v>277</v>
      </c>
      <c r="C38" s="119"/>
      <c r="D38" s="202">
        <v>1700</v>
      </c>
      <c r="E38" s="202">
        <v>2400</v>
      </c>
      <c r="F38" s="202">
        <v>2400</v>
      </c>
      <c r="G38" s="202">
        <v>2500</v>
      </c>
      <c r="H38" s="202">
        <v>3200</v>
      </c>
      <c r="I38" s="202">
        <v>2700</v>
      </c>
      <c r="J38" s="202">
        <v>2600</v>
      </c>
      <c r="K38" s="202">
        <v>2900</v>
      </c>
      <c r="L38" s="202">
        <v>3100</v>
      </c>
      <c r="M38" s="202">
        <v>2400</v>
      </c>
      <c r="N38" s="202">
        <v>3300</v>
      </c>
      <c r="O38" s="202">
        <v>2600</v>
      </c>
      <c r="P38" s="201">
        <f t="shared" si="0"/>
        <v>2591.6666666666665</v>
      </c>
      <c r="Q38" s="201"/>
    </row>
    <row r="39" spans="1:17" ht="44.85" customHeight="1">
      <c r="A39" s="173"/>
      <c r="B39" s="8" t="s">
        <v>278</v>
      </c>
      <c r="C39" s="119"/>
      <c r="D39" s="202"/>
      <c r="E39" s="202"/>
      <c r="F39" s="202"/>
      <c r="G39" s="202"/>
      <c r="H39" s="202"/>
      <c r="I39" s="202"/>
      <c r="J39" s="202"/>
      <c r="K39" s="202"/>
      <c r="L39" s="202"/>
      <c r="M39" s="202"/>
      <c r="N39" s="202"/>
      <c r="O39" s="202"/>
      <c r="P39" s="188"/>
      <c r="Q39" s="188"/>
    </row>
    <row r="40" spans="1:17" ht="44.85" customHeight="1">
      <c r="A40" s="173"/>
      <c r="B40" s="8" t="s">
        <v>279</v>
      </c>
      <c r="C40" s="119"/>
      <c r="D40" s="32">
        <v>19774</v>
      </c>
      <c r="E40" s="32">
        <v>19345</v>
      </c>
      <c r="F40" s="32">
        <v>19127</v>
      </c>
      <c r="G40" s="32">
        <v>19377</v>
      </c>
      <c r="H40" s="32">
        <v>19205</v>
      </c>
      <c r="I40" s="32">
        <v>18699</v>
      </c>
      <c r="J40" s="32">
        <v>17420</v>
      </c>
      <c r="K40" s="32">
        <v>18759</v>
      </c>
      <c r="L40" s="32">
        <v>19020</v>
      </c>
      <c r="M40" s="32">
        <v>18900</v>
      </c>
      <c r="N40" s="32">
        <v>20970</v>
      </c>
      <c r="O40" s="32">
        <v>18979</v>
      </c>
      <c r="P40" s="203">
        <f t="shared" ref="P40:P47" si="6">AVERAGE(D40,F40,G40,H40,I40,J40,K40,L40,M40,N40,O40,D40)</f>
        <v>19167</v>
      </c>
      <c r="Q40" s="203"/>
    </row>
    <row r="41" spans="1:17" ht="44.85" customHeight="1">
      <c r="A41" s="173"/>
      <c r="B41" s="8" t="s">
        <v>280</v>
      </c>
      <c r="C41" s="119"/>
      <c r="D41" s="9">
        <v>0</v>
      </c>
      <c r="E41" s="9">
        <v>0</v>
      </c>
      <c r="F41" s="9">
        <v>0</v>
      </c>
      <c r="G41" s="9">
        <v>0</v>
      </c>
      <c r="H41" s="9">
        <v>0</v>
      </c>
      <c r="I41" s="9">
        <v>0</v>
      </c>
      <c r="J41" s="9">
        <v>0</v>
      </c>
      <c r="K41" s="9">
        <v>0</v>
      </c>
      <c r="L41" s="9">
        <v>0</v>
      </c>
      <c r="M41" s="9">
        <v>0</v>
      </c>
      <c r="N41" s="9">
        <v>0</v>
      </c>
      <c r="O41" s="9">
        <v>0</v>
      </c>
      <c r="P41" s="201">
        <f t="shared" si="6"/>
        <v>0</v>
      </c>
      <c r="Q41" s="201"/>
    </row>
    <row r="42" spans="1:17" ht="44.85" customHeight="1">
      <c r="A42" s="173"/>
      <c r="B42" s="8" t="s">
        <v>281</v>
      </c>
      <c r="C42" s="119"/>
      <c r="D42" s="9">
        <v>0</v>
      </c>
      <c r="E42" s="9">
        <v>0</v>
      </c>
      <c r="F42" s="9">
        <v>0</v>
      </c>
      <c r="G42" s="9">
        <v>0</v>
      </c>
      <c r="H42" s="9">
        <v>0</v>
      </c>
      <c r="I42" s="9">
        <v>0</v>
      </c>
      <c r="J42" s="9">
        <v>0</v>
      </c>
      <c r="K42" s="9">
        <v>0</v>
      </c>
      <c r="L42" s="9">
        <v>0</v>
      </c>
      <c r="M42" s="9">
        <v>0</v>
      </c>
      <c r="N42" s="9">
        <v>0</v>
      </c>
      <c r="O42" s="9">
        <v>0</v>
      </c>
      <c r="P42" s="201">
        <f t="shared" si="6"/>
        <v>0</v>
      </c>
      <c r="Q42" s="201"/>
    </row>
    <row r="43" spans="1:17" ht="44.85" customHeight="1">
      <c r="A43" s="173"/>
      <c r="B43" s="8" t="s">
        <v>282</v>
      </c>
      <c r="C43" s="119"/>
      <c r="D43" s="9">
        <v>0</v>
      </c>
      <c r="E43" s="9">
        <v>0</v>
      </c>
      <c r="F43" s="9">
        <v>0</v>
      </c>
      <c r="G43" s="9">
        <v>0</v>
      </c>
      <c r="H43" s="9">
        <v>0</v>
      </c>
      <c r="I43" s="9">
        <v>0</v>
      </c>
      <c r="J43" s="9">
        <v>0</v>
      </c>
      <c r="K43" s="9">
        <v>0</v>
      </c>
      <c r="L43" s="9">
        <v>0</v>
      </c>
      <c r="M43" s="9">
        <v>0</v>
      </c>
      <c r="N43" s="9">
        <v>0</v>
      </c>
      <c r="O43" s="9">
        <v>0</v>
      </c>
      <c r="P43" s="201">
        <f t="shared" si="6"/>
        <v>0</v>
      </c>
      <c r="Q43" s="201"/>
    </row>
    <row r="44" spans="1:17" ht="44.85" customHeight="1">
      <c r="A44" s="173"/>
      <c r="B44" s="8" t="s">
        <v>283</v>
      </c>
      <c r="C44" s="119"/>
      <c r="D44" s="9">
        <v>134</v>
      </c>
      <c r="E44" s="9">
        <v>204</v>
      </c>
      <c r="F44" s="9">
        <v>311</v>
      </c>
      <c r="G44" s="9">
        <v>653</v>
      </c>
      <c r="H44" s="9">
        <v>588</v>
      </c>
      <c r="I44" s="9">
        <v>523</v>
      </c>
      <c r="J44" s="9">
        <v>318</v>
      </c>
      <c r="K44" s="9">
        <v>478</v>
      </c>
      <c r="L44" s="9">
        <v>620</v>
      </c>
      <c r="M44" s="9">
        <v>660</v>
      </c>
      <c r="N44" s="9">
        <v>586</v>
      </c>
      <c r="O44" s="9">
        <v>532.4</v>
      </c>
      <c r="P44" s="201">
        <f t="shared" si="6"/>
        <v>461.45</v>
      </c>
      <c r="Q44" s="201"/>
    </row>
    <row r="45" spans="1:17" ht="44.85" customHeight="1">
      <c r="A45" s="173"/>
      <c r="B45" s="8" t="s">
        <v>284</v>
      </c>
      <c r="C45" s="119"/>
      <c r="D45" s="9">
        <v>0</v>
      </c>
      <c r="E45" s="9">
        <v>420</v>
      </c>
      <c r="F45" s="9">
        <v>720</v>
      </c>
      <c r="G45" s="9">
        <v>600</v>
      </c>
      <c r="H45" s="9">
        <v>720</v>
      </c>
      <c r="I45" s="9">
        <v>660</v>
      </c>
      <c r="J45" s="9">
        <v>780</v>
      </c>
      <c r="K45" s="9">
        <v>840</v>
      </c>
      <c r="L45" s="9">
        <v>840</v>
      </c>
      <c r="M45" s="9">
        <v>900</v>
      </c>
      <c r="N45" s="9">
        <v>780</v>
      </c>
      <c r="O45" s="9">
        <v>828</v>
      </c>
      <c r="P45" s="201">
        <f t="shared" si="6"/>
        <v>639</v>
      </c>
      <c r="Q45" s="201"/>
    </row>
    <row r="46" spans="1:17" ht="44.85" customHeight="1">
      <c r="A46" s="173"/>
      <c r="B46" s="8"/>
      <c r="C46" s="119"/>
      <c r="D46" s="9"/>
      <c r="E46" s="9"/>
      <c r="F46" s="9"/>
      <c r="G46" s="9"/>
      <c r="H46" s="9"/>
      <c r="I46" s="9"/>
      <c r="J46" s="9"/>
      <c r="K46" s="9"/>
      <c r="L46" s="9"/>
      <c r="M46" s="9"/>
      <c r="N46" s="9"/>
      <c r="O46" s="34"/>
      <c r="P46" s="202" t="e">
        <f t="shared" si="6"/>
        <v>#DIV/0!</v>
      </c>
      <c r="Q46" s="202"/>
    </row>
    <row r="47" spans="1:17" ht="44.85" customHeight="1">
      <c r="A47" s="173"/>
      <c r="B47" s="8"/>
      <c r="C47" s="119"/>
      <c r="D47" s="9"/>
      <c r="E47" s="9"/>
      <c r="F47" s="9"/>
      <c r="G47" s="9"/>
      <c r="H47" s="9"/>
      <c r="I47" s="9"/>
      <c r="J47" s="9"/>
      <c r="K47" s="9"/>
      <c r="L47" s="9"/>
      <c r="M47" s="9"/>
      <c r="N47" s="9"/>
      <c r="O47" s="34"/>
      <c r="P47" s="202" t="e">
        <f t="shared" si="6"/>
        <v>#DIV/0!</v>
      </c>
      <c r="Q47" s="202"/>
    </row>
    <row r="48" spans="1:17" s="15" customFormat="1" ht="12.75" customHeight="1">
      <c r="A48" s="13"/>
      <c r="B48" s="13"/>
      <c r="C48" s="13"/>
      <c r="D48" s="14">
        <v>0.8</v>
      </c>
      <c r="E48" s="14">
        <v>0.8</v>
      </c>
      <c r="F48" s="14">
        <v>0.8</v>
      </c>
      <c r="G48" s="14">
        <v>0.8</v>
      </c>
      <c r="H48" s="14">
        <v>0.8</v>
      </c>
      <c r="I48" s="14">
        <v>0.8</v>
      </c>
      <c r="J48" s="14">
        <v>0.8</v>
      </c>
      <c r="K48" s="14">
        <v>0.8</v>
      </c>
      <c r="L48" s="14">
        <v>0.8</v>
      </c>
      <c r="M48" s="14">
        <v>0.8</v>
      </c>
      <c r="N48" s="14">
        <v>0.8</v>
      </c>
      <c r="O48" s="14">
        <v>0.8</v>
      </c>
      <c r="P48" s="14"/>
      <c r="Q48" s="35"/>
    </row>
    <row r="49" spans="1:17" ht="30" customHeight="1">
      <c r="A49" s="175"/>
      <c r="B49" s="175"/>
      <c r="C49" s="175"/>
      <c r="D49" s="175"/>
      <c r="E49" s="175"/>
      <c r="F49" s="175"/>
      <c r="G49" s="175"/>
      <c r="H49" s="175"/>
      <c r="I49" s="175"/>
      <c r="J49" s="175"/>
      <c r="K49" s="175"/>
      <c r="L49" s="176"/>
      <c r="M49" s="176"/>
      <c r="N49" s="176"/>
      <c r="O49" s="176"/>
      <c r="P49" s="176"/>
      <c r="Q49" s="176"/>
    </row>
    <row r="50" spans="1:17" ht="36.6" customHeight="1">
      <c r="A50" s="120"/>
      <c r="B50" s="121"/>
      <c r="C50" s="121"/>
      <c r="D50" s="121"/>
      <c r="E50" s="121"/>
      <c r="F50" s="121"/>
      <c r="G50" s="121"/>
      <c r="H50" s="121"/>
      <c r="I50" s="122"/>
      <c r="J50" s="122"/>
      <c r="K50" s="123"/>
      <c r="L50" s="177" t="s">
        <v>105</v>
      </c>
      <c r="M50" s="177"/>
      <c r="N50" s="177"/>
      <c r="O50" s="177"/>
      <c r="P50" s="177"/>
      <c r="Q50" s="177"/>
    </row>
    <row r="51" spans="1:17" ht="36.6" customHeight="1">
      <c r="A51" s="124"/>
      <c r="B51" s="125"/>
      <c r="C51" s="125"/>
      <c r="D51" s="125"/>
      <c r="E51" s="125"/>
      <c r="F51" s="125"/>
      <c r="G51" s="125"/>
      <c r="H51" s="125"/>
      <c r="I51" s="126"/>
      <c r="J51" s="126"/>
      <c r="K51" s="127"/>
      <c r="L51" s="173" t="s">
        <v>26</v>
      </c>
      <c r="M51" s="173"/>
      <c r="N51" s="173"/>
      <c r="O51" s="173"/>
      <c r="P51" s="173"/>
      <c r="Q51" s="173"/>
    </row>
    <row r="52" spans="1:17" ht="36.6" customHeight="1">
      <c r="A52" s="128"/>
      <c r="B52" s="129"/>
      <c r="C52" s="129"/>
      <c r="D52" s="129"/>
      <c r="E52" s="129"/>
      <c r="F52" s="129"/>
      <c r="G52" s="129"/>
      <c r="H52" s="129"/>
      <c r="I52" s="130"/>
      <c r="J52" s="130"/>
      <c r="K52" s="131"/>
      <c r="L52" s="173" t="s">
        <v>27</v>
      </c>
      <c r="M52" s="173"/>
      <c r="N52" s="173"/>
      <c r="O52" s="173"/>
      <c r="P52" s="173"/>
      <c r="Q52" s="173"/>
    </row>
  </sheetData>
  <sheetProtection selectLockedCells="1" selectUnlockedCells="1"/>
  <mergeCells count="75">
    <mergeCell ref="A1:Q3"/>
    <mergeCell ref="A4:Q6"/>
    <mergeCell ref="A7:Q7"/>
    <mergeCell ref="A8:Q8"/>
    <mergeCell ref="A9:D9"/>
    <mergeCell ref="E9:J9"/>
    <mergeCell ref="K9:M9"/>
    <mergeCell ref="N9:Q9"/>
    <mergeCell ref="A10:D10"/>
    <mergeCell ref="E10:J10"/>
    <mergeCell ref="K10:M10"/>
    <mergeCell ref="N10:Q10"/>
    <mergeCell ref="A11:D11"/>
    <mergeCell ref="E11:J11"/>
    <mergeCell ref="K11:M11"/>
    <mergeCell ref="N11:Q11"/>
    <mergeCell ref="A13:Q13"/>
    <mergeCell ref="P14:Q14"/>
    <mergeCell ref="A15:A47"/>
    <mergeCell ref="P15:Q15"/>
    <mergeCell ref="P16:Q16"/>
    <mergeCell ref="P17:Q17"/>
    <mergeCell ref="P18:Q18"/>
    <mergeCell ref="P19:Q19"/>
    <mergeCell ref="P20:Q20"/>
    <mergeCell ref="P21:Q21"/>
    <mergeCell ref="P22:Q22"/>
    <mergeCell ref="P23:Q23"/>
    <mergeCell ref="D24:D25"/>
    <mergeCell ref="F24:F25"/>
    <mergeCell ref="H24:H25"/>
    <mergeCell ref="J24:J25"/>
    <mergeCell ref="L24:L25"/>
    <mergeCell ref="N24:N25"/>
    <mergeCell ref="P24:Q24"/>
    <mergeCell ref="P25:Q25"/>
    <mergeCell ref="P26:Q26"/>
    <mergeCell ref="P27:Q27"/>
    <mergeCell ref="P28:Q28"/>
    <mergeCell ref="P29:Q29"/>
    <mergeCell ref="P30:Q30"/>
    <mergeCell ref="P31:Q31"/>
    <mergeCell ref="P32:Q32"/>
    <mergeCell ref="P33:Q33"/>
    <mergeCell ref="P34:Q34"/>
    <mergeCell ref="P35:Q35"/>
    <mergeCell ref="P36:Q36"/>
    <mergeCell ref="P37:Q37"/>
    <mergeCell ref="L38:L39"/>
    <mergeCell ref="M38:M39"/>
    <mergeCell ref="N38:N39"/>
    <mergeCell ref="O38:O39"/>
    <mergeCell ref="I38:I39"/>
    <mergeCell ref="A49:K49"/>
    <mergeCell ref="L49:Q49"/>
    <mergeCell ref="P38:Q38"/>
    <mergeCell ref="P39:Q39"/>
    <mergeCell ref="P40:Q40"/>
    <mergeCell ref="P41:Q41"/>
    <mergeCell ref="P42:Q42"/>
    <mergeCell ref="P43:Q43"/>
    <mergeCell ref="J38:J39"/>
    <mergeCell ref="K38:K39"/>
    <mergeCell ref="D38:D39"/>
    <mergeCell ref="E38:E39"/>
    <mergeCell ref="F38:F39"/>
    <mergeCell ref="G38:G39"/>
    <mergeCell ref="H38:H39"/>
    <mergeCell ref="L50:Q50"/>
    <mergeCell ref="L51:Q51"/>
    <mergeCell ref="L52:Q52"/>
    <mergeCell ref="P44:Q44"/>
    <mergeCell ref="P45:Q45"/>
    <mergeCell ref="P46:Q46"/>
    <mergeCell ref="P47:Q47"/>
  </mergeCells>
  <dataValidations count="3">
    <dataValidation operator="equal" allowBlank="1" showErrorMessage="1" errorTitle="Seleccionar un valor de la lista" sqref="E20:E31 G20:G31 I20:I31 K20:K31 M20:N24 M25:M31 N26:N31 E41:E43 G41:G43 I41:I43 K41:K43 M41:N43 E46:E47 G46:G47 I46:I47 K46:K47 M46:N47">
      <formula1>0</formula1>
      <formula2>0</formula2>
    </dataValidation>
    <dataValidation type="list" operator="equal" allowBlank="1" showErrorMessage="1" sqref="N9">
      <formula1>"EFICACIA,EFICIENCIA,EFECTIVIDAD"</formula1>
      <formula2>0</formula2>
    </dataValidation>
    <dataValidation type="list" operator="equal" allowBlank="1" showErrorMessage="1" sqref="N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zoomScale="75" zoomScaleNormal="75" workbookViewId="0"/>
  </sheetViews>
  <sheetFormatPr baseColWidth="10" defaultRowHeight="14.65" customHeight="1"/>
  <cols>
    <col min="1" max="1" width="12.140625" customWidth="1"/>
    <col min="2" max="2" width="45.42578125" customWidth="1"/>
    <col min="3" max="3" width="12.140625" customWidth="1"/>
    <col min="4" max="4" width="25.42578125" customWidth="1"/>
    <col min="5" max="5" width="12.140625" customWidth="1"/>
    <col min="6" max="6" width="15.5703125" customWidth="1"/>
    <col min="7" max="7" width="12.140625" customWidth="1"/>
    <col min="8" max="8" width="13.85546875" customWidth="1"/>
    <col min="9" max="14" width="15" customWidth="1"/>
  </cols>
  <sheetData>
    <row r="1" spans="2:14" ht="12.75" customHeight="1"/>
    <row r="2" spans="2:14" ht="12.75" customHeight="1">
      <c r="B2" s="211" t="s">
        <v>286</v>
      </c>
      <c r="C2" s="212" t="s">
        <v>287</v>
      </c>
      <c r="D2" s="212"/>
      <c r="E2" s="212"/>
      <c r="F2" s="212"/>
      <c r="G2" s="212"/>
      <c r="H2" s="212"/>
      <c r="I2" s="212" t="s">
        <v>288</v>
      </c>
      <c r="J2" s="212"/>
      <c r="K2" s="212"/>
      <c r="L2" s="212"/>
      <c r="M2" s="212"/>
      <c r="N2" s="212"/>
    </row>
    <row r="3" spans="2:14" ht="12.75" customHeight="1">
      <c r="B3" s="211"/>
      <c r="C3" s="212" t="s">
        <v>289</v>
      </c>
      <c r="D3" s="212"/>
      <c r="E3" s="212" t="s">
        <v>290</v>
      </c>
      <c r="F3" s="212"/>
      <c r="G3" s="212" t="s">
        <v>291</v>
      </c>
      <c r="H3" s="212"/>
      <c r="I3" s="212" t="s">
        <v>289</v>
      </c>
      <c r="J3" s="212"/>
      <c r="K3" s="212" t="s">
        <v>290</v>
      </c>
      <c r="L3" s="212"/>
      <c r="M3" s="212" t="s">
        <v>291</v>
      </c>
      <c r="N3" s="212"/>
    </row>
    <row r="4" spans="2:14" ht="12.75" customHeight="1">
      <c r="B4" s="211"/>
      <c r="C4" s="133" t="s">
        <v>292</v>
      </c>
      <c r="D4" s="134" t="s">
        <v>293</v>
      </c>
      <c r="E4" s="133" t="s">
        <v>292</v>
      </c>
      <c r="F4" s="134" t="s">
        <v>293</v>
      </c>
      <c r="G4" s="133" t="s">
        <v>292</v>
      </c>
      <c r="H4" s="134" t="s">
        <v>293</v>
      </c>
      <c r="I4" s="133" t="s">
        <v>294</v>
      </c>
      <c r="J4" s="134" t="s">
        <v>293</v>
      </c>
      <c r="K4" s="133" t="s">
        <v>294</v>
      </c>
      <c r="L4" s="134" t="s">
        <v>293</v>
      </c>
      <c r="M4" s="133" t="s">
        <v>294</v>
      </c>
      <c r="N4" s="134" t="s">
        <v>293</v>
      </c>
    </row>
    <row r="5" spans="2:14" ht="15" customHeight="1">
      <c r="B5" s="135" t="s">
        <v>295</v>
      </c>
      <c r="C5" s="28">
        <v>44054</v>
      </c>
      <c r="D5" s="136">
        <v>16647235</v>
      </c>
      <c r="E5" s="28">
        <v>48744</v>
      </c>
      <c r="F5" s="136">
        <v>20466645</v>
      </c>
      <c r="G5" s="28">
        <f t="shared" ref="G5:H8" si="0">+C5+E5</f>
        <v>92798</v>
      </c>
      <c r="H5" s="136">
        <f t="shared" si="0"/>
        <v>37113880</v>
      </c>
      <c r="I5" s="137">
        <v>280</v>
      </c>
      <c r="J5" s="136">
        <v>1234310</v>
      </c>
      <c r="K5" s="28">
        <v>256</v>
      </c>
      <c r="L5" s="136">
        <v>1151890</v>
      </c>
      <c r="M5" s="28">
        <f t="shared" ref="M5:N8" si="1">+I5+K5</f>
        <v>536</v>
      </c>
      <c r="N5" s="136">
        <f t="shared" si="1"/>
        <v>2386200</v>
      </c>
    </row>
    <row r="6" spans="2:14" ht="15" customHeight="1">
      <c r="B6" s="135" t="s">
        <v>296</v>
      </c>
      <c r="C6" s="28">
        <v>31500</v>
      </c>
      <c r="D6" s="136">
        <v>14374850</v>
      </c>
      <c r="E6" s="28">
        <v>27460</v>
      </c>
      <c r="F6" s="136">
        <v>12843781</v>
      </c>
      <c r="G6" s="28">
        <f t="shared" si="0"/>
        <v>58960</v>
      </c>
      <c r="H6" s="136">
        <f t="shared" si="0"/>
        <v>27218631</v>
      </c>
      <c r="I6" s="137">
        <v>250</v>
      </c>
      <c r="J6" s="136">
        <v>1545890</v>
      </c>
      <c r="K6" s="28">
        <v>242</v>
      </c>
      <c r="L6" s="136">
        <v>1528600</v>
      </c>
      <c r="M6" s="28">
        <f t="shared" si="1"/>
        <v>492</v>
      </c>
      <c r="N6" s="136">
        <f t="shared" si="1"/>
        <v>3074490</v>
      </c>
    </row>
    <row r="7" spans="2:14" ht="15" customHeight="1">
      <c r="B7" s="135" t="s">
        <v>297</v>
      </c>
      <c r="C7" s="28">
        <v>11389</v>
      </c>
      <c r="D7" s="136">
        <v>5223374</v>
      </c>
      <c r="E7" s="28">
        <v>14046</v>
      </c>
      <c r="F7" s="136">
        <v>6793199</v>
      </c>
      <c r="G7" s="28">
        <f t="shared" si="0"/>
        <v>25435</v>
      </c>
      <c r="H7" s="136">
        <f t="shared" si="0"/>
        <v>12016573</v>
      </c>
      <c r="I7" s="137">
        <v>0</v>
      </c>
      <c r="J7" s="136">
        <v>0</v>
      </c>
      <c r="K7" s="28">
        <v>0</v>
      </c>
      <c r="L7" s="136">
        <v>0</v>
      </c>
      <c r="M7" s="28">
        <f t="shared" si="1"/>
        <v>0</v>
      </c>
      <c r="N7" s="136">
        <f t="shared" si="1"/>
        <v>0</v>
      </c>
    </row>
    <row r="8" spans="2:14" ht="15" customHeight="1">
      <c r="B8" s="135" t="s">
        <v>298</v>
      </c>
      <c r="C8" s="207">
        <v>14900</v>
      </c>
      <c r="D8" s="209">
        <v>5548151</v>
      </c>
      <c r="E8" s="207">
        <v>16900</v>
      </c>
      <c r="F8" s="209">
        <v>6620178</v>
      </c>
      <c r="G8" s="207">
        <f t="shared" si="0"/>
        <v>31800</v>
      </c>
      <c r="H8" s="208">
        <f t="shared" si="0"/>
        <v>12168329</v>
      </c>
      <c r="I8" s="207">
        <v>245</v>
      </c>
      <c r="J8" s="210">
        <v>1089100</v>
      </c>
      <c r="K8" s="207">
        <v>370</v>
      </c>
      <c r="L8" s="209">
        <v>1835570</v>
      </c>
      <c r="M8" s="207">
        <f t="shared" si="1"/>
        <v>615</v>
      </c>
      <c r="N8" s="209">
        <f t="shared" si="1"/>
        <v>2924670</v>
      </c>
    </row>
    <row r="9" spans="2:14" ht="15" customHeight="1">
      <c r="B9" s="135" t="s">
        <v>299</v>
      </c>
      <c r="C9" s="207"/>
      <c r="D9" s="209"/>
      <c r="E9" s="207"/>
      <c r="F9" s="209"/>
      <c r="G9" s="207"/>
      <c r="H9" s="208"/>
      <c r="I9" s="207"/>
      <c r="J9" s="210"/>
      <c r="K9" s="207"/>
      <c r="L9" s="209"/>
      <c r="M9" s="207"/>
      <c r="N9" s="209"/>
    </row>
    <row r="10" spans="2:14" ht="15" customHeight="1">
      <c r="B10" s="138" t="s">
        <v>300</v>
      </c>
      <c r="C10" s="28">
        <v>78561</v>
      </c>
      <c r="D10" s="136">
        <v>25821271</v>
      </c>
      <c r="E10" s="28">
        <v>84576</v>
      </c>
      <c r="F10" s="136">
        <v>30309390</v>
      </c>
      <c r="G10" s="28">
        <f t="shared" ref="G10:H13" si="2">+C10+E10</f>
        <v>163137</v>
      </c>
      <c r="H10" s="136">
        <f t="shared" si="2"/>
        <v>56130661</v>
      </c>
      <c r="I10" s="207">
        <v>1870</v>
      </c>
      <c r="J10" s="210">
        <v>7919000</v>
      </c>
      <c r="K10" s="207">
        <v>2212</v>
      </c>
      <c r="L10" s="209">
        <v>9486130</v>
      </c>
      <c r="M10" s="207">
        <f>+I10+K10</f>
        <v>4082</v>
      </c>
      <c r="N10" s="209">
        <f>+J10+L10</f>
        <v>17405130</v>
      </c>
    </row>
    <row r="11" spans="2:14" ht="15" customHeight="1">
      <c r="B11" s="135" t="s">
        <v>301</v>
      </c>
      <c r="C11" s="28">
        <v>2413</v>
      </c>
      <c r="D11" s="136">
        <v>831650</v>
      </c>
      <c r="E11" s="28">
        <v>3194</v>
      </c>
      <c r="F11" s="136">
        <v>1209660</v>
      </c>
      <c r="G11" s="28">
        <f t="shared" si="2"/>
        <v>5607</v>
      </c>
      <c r="H11" s="136">
        <f t="shared" si="2"/>
        <v>2041310</v>
      </c>
      <c r="I11" s="207"/>
      <c r="J11" s="210"/>
      <c r="K11" s="207"/>
      <c r="L11" s="209"/>
      <c r="M11" s="207"/>
      <c r="N11" s="209"/>
    </row>
    <row r="12" spans="2:14" ht="15" customHeight="1">
      <c r="B12" s="135" t="s">
        <v>302</v>
      </c>
      <c r="C12" s="28">
        <v>115527</v>
      </c>
      <c r="D12" s="136">
        <v>42496214</v>
      </c>
      <c r="E12" s="28">
        <v>114048</v>
      </c>
      <c r="F12" s="136">
        <v>46841918</v>
      </c>
      <c r="G12" s="28">
        <f t="shared" si="2"/>
        <v>229575</v>
      </c>
      <c r="H12" s="136">
        <f t="shared" si="2"/>
        <v>89338132</v>
      </c>
      <c r="I12" s="28">
        <v>991</v>
      </c>
      <c r="J12" s="136">
        <v>4191530</v>
      </c>
      <c r="K12" s="28">
        <v>1223</v>
      </c>
      <c r="L12" s="136">
        <v>5231770</v>
      </c>
      <c r="M12" s="28">
        <f>+I12+K12</f>
        <v>2214</v>
      </c>
      <c r="N12" s="136">
        <f>+J12+L12</f>
        <v>9423300</v>
      </c>
    </row>
    <row r="13" spans="2:14" ht="15" customHeight="1">
      <c r="B13" s="135" t="s">
        <v>303</v>
      </c>
      <c r="C13" s="28">
        <v>3120</v>
      </c>
      <c r="D13" s="136">
        <v>1300767</v>
      </c>
      <c r="E13" s="28">
        <v>4968</v>
      </c>
      <c r="F13" s="136">
        <v>2138913</v>
      </c>
      <c r="G13" s="28">
        <f t="shared" si="2"/>
        <v>8088</v>
      </c>
      <c r="H13" s="136">
        <f t="shared" si="2"/>
        <v>3439680</v>
      </c>
      <c r="I13" s="28">
        <v>146</v>
      </c>
      <c r="J13" s="136">
        <v>1095030</v>
      </c>
      <c r="K13" s="28">
        <v>130</v>
      </c>
      <c r="L13" s="136">
        <v>702642</v>
      </c>
      <c r="M13" s="28">
        <f>+I13+K13</f>
        <v>276</v>
      </c>
      <c r="N13" s="136">
        <f>+J13+L13</f>
        <v>1797672</v>
      </c>
    </row>
    <row r="14" spans="2:14" ht="12.75" customHeight="1">
      <c r="B14" s="139" t="s">
        <v>291</v>
      </c>
      <c r="C14" s="139">
        <f t="shared" ref="C14:N14" si="3">SUM(C5:C13)</f>
        <v>301464</v>
      </c>
      <c r="D14" s="140">
        <f t="shared" si="3"/>
        <v>112243512</v>
      </c>
      <c r="E14" s="139">
        <f t="shared" si="3"/>
        <v>313936</v>
      </c>
      <c r="F14" s="140">
        <f t="shared" si="3"/>
        <v>127223684</v>
      </c>
      <c r="G14" s="139">
        <f t="shared" si="3"/>
        <v>615400</v>
      </c>
      <c r="H14" s="140">
        <f t="shared" si="3"/>
        <v>239467196</v>
      </c>
      <c r="I14" s="139">
        <f t="shared" si="3"/>
        <v>3782</v>
      </c>
      <c r="J14" s="140">
        <f t="shared" si="3"/>
        <v>17074860</v>
      </c>
      <c r="K14" s="139">
        <f t="shared" si="3"/>
        <v>4433</v>
      </c>
      <c r="L14" s="140">
        <f t="shared" si="3"/>
        <v>19936602</v>
      </c>
      <c r="M14" s="139">
        <f t="shared" si="3"/>
        <v>8215</v>
      </c>
      <c r="N14" s="140">
        <f t="shared" si="3"/>
        <v>37011462</v>
      </c>
    </row>
    <row r="15" spans="2:14" ht="12.75" customHeight="1"/>
    <row r="16" spans="2:14" ht="12.75" customHeight="1">
      <c r="D16" s="141"/>
    </row>
    <row r="18" spans="2:4" ht="12.75" customHeight="1">
      <c r="B18" s="142" t="s">
        <v>304</v>
      </c>
      <c r="C18" s="142" t="s">
        <v>305</v>
      </c>
      <c r="D18" s="142" t="s">
        <v>306</v>
      </c>
    </row>
    <row r="19" spans="2:4" ht="12.75" customHeight="1">
      <c r="B19" s="77" t="s">
        <v>307</v>
      </c>
      <c r="C19" s="77">
        <v>733</v>
      </c>
      <c r="D19" s="143">
        <f>C23*C19</f>
        <v>6865160.7199999997</v>
      </c>
    </row>
    <row r="20" spans="2:4" ht="12.75" customHeight="1">
      <c r="B20" s="77" t="s">
        <v>308</v>
      </c>
      <c r="C20" s="77">
        <v>1019</v>
      </c>
      <c r="D20" s="143">
        <f>+C20*C23</f>
        <v>9543790.9600000009</v>
      </c>
    </row>
    <row r="21" spans="2:4" ht="12.75" customHeight="1">
      <c r="B21" s="139" t="s">
        <v>291</v>
      </c>
      <c r="C21" s="139">
        <f>+C19+C20</f>
        <v>1752</v>
      </c>
      <c r="D21" s="144">
        <f>+D19+D20</f>
        <v>16408951.68</v>
      </c>
    </row>
    <row r="22" spans="2:4" ht="12.75" customHeight="1"/>
    <row r="23" spans="2:4" ht="12.75" customHeight="1">
      <c r="B23" s="139" t="s">
        <v>309</v>
      </c>
      <c r="C23" s="77">
        <v>9365.84</v>
      </c>
    </row>
    <row r="24" spans="2:4" ht="12.75" customHeight="1"/>
    <row r="25" spans="2:4" ht="12.75" customHeight="1"/>
    <row r="26" spans="2:4" ht="12.75" customHeight="1"/>
    <row r="27" spans="2:4" ht="15" customHeight="1">
      <c r="B27" s="145" t="s">
        <v>286</v>
      </c>
      <c r="C27" s="145"/>
      <c r="D27" s="146" t="s">
        <v>310</v>
      </c>
    </row>
    <row r="28" spans="2:4" ht="14.25" customHeight="1">
      <c r="B28" s="206" t="s">
        <v>295</v>
      </c>
      <c r="C28" s="78">
        <v>1</v>
      </c>
      <c r="D28" s="147" t="s">
        <v>311</v>
      </c>
    </row>
    <row r="29" spans="2:4" ht="14.25" customHeight="1">
      <c r="B29" s="206"/>
      <c r="C29" s="78">
        <f t="shared" ref="C29:C35" si="4">+C28+1</f>
        <v>2</v>
      </c>
      <c r="D29" s="147" t="s">
        <v>312</v>
      </c>
    </row>
    <row r="30" spans="2:4" ht="14.25" customHeight="1">
      <c r="B30" s="206"/>
      <c r="C30" s="78">
        <f t="shared" si="4"/>
        <v>3</v>
      </c>
      <c r="D30" s="147" t="s">
        <v>313</v>
      </c>
    </row>
    <row r="31" spans="2:4" ht="14.25" customHeight="1">
      <c r="B31" s="206"/>
      <c r="C31" s="78">
        <f t="shared" si="4"/>
        <v>4</v>
      </c>
      <c r="D31" s="147" t="s">
        <v>314</v>
      </c>
    </row>
    <row r="32" spans="2:4" ht="14.25" customHeight="1">
      <c r="B32" s="206"/>
      <c r="C32" s="78">
        <f t="shared" si="4"/>
        <v>5</v>
      </c>
      <c r="D32" s="147" t="s">
        <v>315</v>
      </c>
    </row>
    <row r="33" spans="2:4" ht="14.25" customHeight="1">
      <c r="B33" s="206"/>
      <c r="C33" s="78">
        <f t="shared" si="4"/>
        <v>6</v>
      </c>
      <c r="D33" s="147" t="s">
        <v>316</v>
      </c>
    </row>
    <row r="34" spans="2:4" ht="28.5" customHeight="1">
      <c r="B34" s="206"/>
      <c r="C34" s="78">
        <f t="shared" si="4"/>
        <v>7</v>
      </c>
      <c r="D34" s="147" t="s">
        <v>317</v>
      </c>
    </row>
    <row r="35" spans="2:4" ht="14.25" customHeight="1">
      <c r="B35" s="206"/>
      <c r="C35" s="78">
        <f t="shared" si="4"/>
        <v>8</v>
      </c>
      <c r="D35" s="147" t="s">
        <v>318</v>
      </c>
    </row>
    <row r="36" spans="2:4" ht="14.25" customHeight="1">
      <c r="B36" s="206" t="s">
        <v>319</v>
      </c>
      <c r="C36" s="78">
        <v>1</v>
      </c>
      <c r="D36" s="147" t="s">
        <v>320</v>
      </c>
    </row>
    <row r="37" spans="2:4" ht="14.25" customHeight="1">
      <c r="B37" s="206"/>
      <c r="C37" s="78">
        <f t="shared" ref="C37:C44" si="5">+C36+1</f>
        <v>2</v>
      </c>
      <c r="D37" s="147" t="s">
        <v>321</v>
      </c>
    </row>
    <row r="38" spans="2:4" ht="14.25" customHeight="1">
      <c r="B38" s="206"/>
      <c r="C38" s="78">
        <f t="shared" si="5"/>
        <v>3</v>
      </c>
      <c r="D38" s="147" t="s">
        <v>322</v>
      </c>
    </row>
    <row r="39" spans="2:4" ht="14.25" customHeight="1">
      <c r="B39" s="206"/>
      <c r="C39" s="78">
        <f t="shared" si="5"/>
        <v>4</v>
      </c>
      <c r="D39" s="147" t="s">
        <v>323</v>
      </c>
    </row>
    <row r="40" spans="2:4" ht="14.25" customHeight="1">
      <c r="B40" s="206"/>
      <c r="C40" s="78">
        <f t="shared" si="5"/>
        <v>5</v>
      </c>
      <c r="D40" s="147" t="s">
        <v>324</v>
      </c>
    </row>
    <row r="41" spans="2:4" ht="14.25" customHeight="1">
      <c r="B41" s="206"/>
      <c r="C41" s="78">
        <f t="shared" si="5"/>
        <v>6</v>
      </c>
      <c r="D41" s="147" t="s">
        <v>325</v>
      </c>
    </row>
    <row r="42" spans="2:4" ht="14.25" customHeight="1">
      <c r="B42" s="206"/>
      <c r="C42" s="78">
        <f t="shared" si="5"/>
        <v>7</v>
      </c>
      <c r="D42" s="147" t="s">
        <v>326</v>
      </c>
    </row>
    <row r="43" spans="2:4" ht="28.5" customHeight="1">
      <c r="B43" s="206"/>
      <c r="C43" s="78">
        <f t="shared" si="5"/>
        <v>8</v>
      </c>
      <c r="D43" s="147" t="s">
        <v>327</v>
      </c>
    </row>
    <row r="44" spans="2:4" ht="14.25" customHeight="1">
      <c r="B44" s="206"/>
      <c r="C44" s="78">
        <f t="shared" si="5"/>
        <v>9</v>
      </c>
      <c r="D44" s="147" t="s">
        <v>328</v>
      </c>
    </row>
    <row r="45" spans="2:4" ht="28.5" customHeight="1">
      <c r="B45" s="206" t="s">
        <v>329</v>
      </c>
      <c r="C45" s="78">
        <v>1</v>
      </c>
      <c r="D45" s="147" t="s">
        <v>330</v>
      </c>
    </row>
    <row r="46" spans="2:4" ht="14.25" customHeight="1">
      <c r="B46" s="206"/>
      <c r="C46" s="78">
        <f t="shared" ref="C46:C51" si="6">+C45+1</f>
        <v>2</v>
      </c>
      <c r="D46" s="147" t="s">
        <v>331</v>
      </c>
    </row>
    <row r="47" spans="2:4" ht="14.25" customHeight="1">
      <c r="B47" s="206"/>
      <c r="C47" s="78">
        <f t="shared" si="6"/>
        <v>3</v>
      </c>
      <c r="D47" s="147" t="s">
        <v>332</v>
      </c>
    </row>
    <row r="48" spans="2:4" ht="14.25" customHeight="1">
      <c r="B48" s="206"/>
      <c r="C48" s="78">
        <f t="shared" si="6"/>
        <v>4</v>
      </c>
      <c r="D48" s="147" t="s">
        <v>333</v>
      </c>
    </row>
    <row r="49" spans="2:5" ht="14.25" customHeight="1">
      <c r="B49" s="206"/>
      <c r="C49" s="78">
        <f t="shared" si="6"/>
        <v>5</v>
      </c>
      <c r="D49" s="147" t="s">
        <v>334</v>
      </c>
    </row>
    <row r="50" spans="2:5" ht="14.25" customHeight="1">
      <c r="B50" s="206"/>
      <c r="C50" s="78">
        <f t="shared" si="6"/>
        <v>6</v>
      </c>
      <c r="D50" s="147" t="s">
        <v>335</v>
      </c>
    </row>
    <row r="51" spans="2:5" ht="14.25" customHeight="1">
      <c r="B51" s="206"/>
      <c r="C51" s="78">
        <f t="shared" si="6"/>
        <v>7</v>
      </c>
      <c r="D51" s="147" t="s">
        <v>336</v>
      </c>
    </row>
    <row r="52" spans="2:5" ht="14.25" customHeight="1">
      <c r="B52" s="148" t="s">
        <v>337</v>
      </c>
      <c r="C52" s="78">
        <v>1</v>
      </c>
      <c r="D52" s="147" t="s">
        <v>338</v>
      </c>
    </row>
    <row r="53" spans="2:5" ht="15" customHeight="1">
      <c r="B53" s="148" t="s">
        <v>302</v>
      </c>
      <c r="C53" s="78">
        <v>1</v>
      </c>
      <c r="D53" s="147" t="s">
        <v>339</v>
      </c>
      <c r="E53" s="149"/>
    </row>
    <row r="54" spans="2:5" ht="14.25" customHeight="1">
      <c r="B54" s="148" t="s">
        <v>340</v>
      </c>
      <c r="C54" s="78">
        <v>1</v>
      </c>
      <c r="D54" s="147" t="s">
        <v>340</v>
      </c>
    </row>
    <row r="55" spans="2:5" ht="14.25" customHeight="1">
      <c r="B55" s="148" t="s">
        <v>341</v>
      </c>
      <c r="C55" s="78">
        <v>1</v>
      </c>
      <c r="D55" s="147" t="s">
        <v>342</v>
      </c>
    </row>
    <row r="56" spans="2:5" ht="14.25" customHeight="1">
      <c r="B56" s="206" t="s">
        <v>343</v>
      </c>
      <c r="C56" s="78">
        <v>1</v>
      </c>
      <c r="D56" s="147" t="s">
        <v>344</v>
      </c>
    </row>
    <row r="57" spans="2:5" ht="14.25" customHeight="1">
      <c r="B57" s="206"/>
      <c r="C57" s="78">
        <v>2</v>
      </c>
      <c r="D57" s="147" t="s">
        <v>345</v>
      </c>
    </row>
    <row r="58" spans="2:5" ht="14.25" customHeight="1">
      <c r="B58" s="148" t="s">
        <v>299</v>
      </c>
      <c r="C58" s="78">
        <v>1</v>
      </c>
      <c r="D58" s="147" t="s">
        <v>299</v>
      </c>
    </row>
    <row r="59" spans="2:5" ht="14.25" customHeight="1">
      <c r="B59" s="148" t="s">
        <v>346</v>
      </c>
      <c r="C59" s="78">
        <v>1</v>
      </c>
      <c r="D59" s="147" t="s">
        <v>347</v>
      </c>
    </row>
    <row r="60" spans="2:5" ht="14.25" customHeight="1">
      <c r="B60" s="148" t="s">
        <v>301</v>
      </c>
      <c r="C60" s="78">
        <v>1</v>
      </c>
      <c r="D60" s="147" t="s">
        <v>348</v>
      </c>
    </row>
    <row r="62" spans="2:5" ht="12.75" customHeight="1">
      <c r="B62" s="150" t="s">
        <v>349</v>
      </c>
      <c r="C62" s="150">
        <f>+COUNT(C28:C60)</f>
        <v>33</v>
      </c>
    </row>
  </sheetData>
  <sheetProtection selectLockedCells="1" selectUnlockedCells="1"/>
  <mergeCells count="31">
    <mergeCell ref="B2:B4"/>
    <mergeCell ref="C2:H2"/>
    <mergeCell ref="I2:N2"/>
    <mergeCell ref="C3:D3"/>
    <mergeCell ref="E3:F3"/>
    <mergeCell ref="G3:H3"/>
    <mergeCell ref="I3:J3"/>
    <mergeCell ref="K3:L3"/>
    <mergeCell ref="M3:N3"/>
    <mergeCell ref="C8:C9"/>
    <mergeCell ref="D8:D9"/>
    <mergeCell ref="E8:E9"/>
    <mergeCell ref="F8:F9"/>
    <mergeCell ref="G8:G9"/>
    <mergeCell ref="H8:H9"/>
    <mergeCell ref="K10:K11"/>
    <mergeCell ref="L10:L11"/>
    <mergeCell ref="M10:M11"/>
    <mergeCell ref="N10:N11"/>
    <mergeCell ref="I8:I9"/>
    <mergeCell ref="J8:J9"/>
    <mergeCell ref="K8:K9"/>
    <mergeCell ref="L8:L9"/>
    <mergeCell ref="M8:M9"/>
    <mergeCell ref="N8:N9"/>
    <mergeCell ref="J10:J11"/>
    <mergeCell ref="B28:B35"/>
    <mergeCell ref="B36:B44"/>
    <mergeCell ref="B45:B51"/>
    <mergeCell ref="B56:B57"/>
    <mergeCell ref="I10:I11"/>
  </mergeCell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
  <sheetViews>
    <sheetView topLeftCell="A18" zoomScale="75" zoomScaleNormal="75" workbookViewId="0"/>
  </sheetViews>
  <sheetFormatPr baseColWidth="10" defaultRowHeight="15.75" customHeight="1"/>
  <cols>
    <col min="1" max="1" width="16.140625" customWidth="1"/>
    <col min="2" max="2" width="16.140625" style="151" customWidth="1"/>
    <col min="3" max="3" width="21.5703125" style="151" customWidth="1"/>
    <col min="4" max="4" width="43.140625" customWidth="1"/>
    <col min="5" max="5" width="13.42578125" customWidth="1"/>
    <col min="6" max="6" width="22.28515625" customWidth="1"/>
    <col min="7" max="7" width="35.85546875" style="152" customWidth="1"/>
    <col min="8" max="8" width="15.28515625" customWidth="1"/>
    <col min="9" max="9" width="14.7109375" customWidth="1"/>
    <col min="10" max="13" width="11.5703125" customWidth="1"/>
    <col min="14" max="20" width="13.42578125" customWidth="1"/>
  </cols>
  <sheetData>
    <row r="2" spans="1:21" ht="40.5" customHeight="1">
      <c r="A2" s="188"/>
      <c r="B2" s="214" t="s">
        <v>350</v>
      </c>
      <c r="C2" s="214"/>
      <c r="D2" s="214"/>
      <c r="E2" s="214"/>
      <c r="F2" s="214"/>
      <c r="G2" s="214"/>
      <c r="H2" s="214"/>
      <c r="I2" s="214"/>
      <c r="J2" s="214"/>
      <c r="K2" s="214"/>
      <c r="L2" s="214"/>
      <c r="M2" s="214"/>
      <c r="N2" s="214"/>
      <c r="O2" s="214"/>
      <c r="P2" s="214"/>
      <c r="Q2" s="214"/>
      <c r="R2" s="214"/>
      <c r="S2" s="214"/>
      <c r="T2" s="214"/>
    </row>
    <row r="3" spans="1:21" ht="21.75" customHeight="1">
      <c r="A3" s="188"/>
      <c r="B3" s="214"/>
      <c r="C3" s="214"/>
      <c r="D3" s="214"/>
      <c r="E3" s="214"/>
      <c r="F3" s="214"/>
      <c r="G3" s="214"/>
      <c r="H3" s="214"/>
      <c r="I3" s="214"/>
      <c r="J3" s="214"/>
      <c r="K3" s="214"/>
      <c r="L3" s="214"/>
      <c r="M3" s="214"/>
      <c r="N3" s="214"/>
      <c r="O3" s="214"/>
      <c r="P3" s="214"/>
      <c r="Q3" s="214"/>
      <c r="R3" s="214"/>
      <c r="S3" s="214"/>
      <c r="T3" s="214"/>
    </row>
    <row r="4" spans="1:21" ht="21.75" customHeight="1">
      <c r="A4" s="188"/>
      <c r="B4" s="215" t="s">
        <v>351</v>
      </c>
      <c r="C4" s="215"/>
      <c r="D4" s="215"/>
      <c r="E4" s="215"/>
      <c r="F4" s="215"/>
      <c r="G4" s="215"/>
      <c r="H4" s="215"/>
      <c r="I4" s="215"/>
      <c r="J4" s="215"/>
      <c r="K4" s="215"/>
      <c r="L4" s="215"/>
      <c r="M4" s="215"/>
      <c r="N4" s="215"/>
      <c r="O4" s="215"/>
      <c r="P4" s="215"/>
      <c r="Q4" s="215"/>
      <c r="R4" s="215"/>
      <c r="S4" s="215"/>
      <c r="T4" s="215"/>
    </row>
    <row r="5" spans="1:21" ht="31.5" customHeight="1">
      <c r="A5" s="188"/>
      <c r="B5" s="215"/>
      <c r="C5" s="215"/>
      <c r="D5" s="215"/>
      <c r="E5" s="215"/>
      <c r="F5" s="215"/>
      <c r="G5" s="215"/>
      <c r="H5" s="215"/>
      <c r="I5" s="215"/>
      <c r="J5" s="215"/>
      <c r="K5" s="215"/>
      <c r="L5" s="215"/>
      <c r="M5" s="215"/>
      <c r="N5" s="215"/>
      <c r="O5" s="215"/>
      <c r="P5" s="215"/>
      <c r="Q5" s="215"/>
      <c r="R5" s="215"/>
      <c r="S5" s="215"/>
      <c r="T5" s="215"/>
    </row>
    <row r="8" spans="1:21" ht="71.099999999999994" customHeight="1">
      <c r="A8" s="153" t="s">
        <v>352</v>
      </c>
      <c r="B8" s="153" t="s">
        <v>353</v>
      </c>
      <c r="C8" s="153" t="s">
        <v>354</v>
      </c>
      <c r="D8" s="153" t="s">
        <v>355</v>
      </c>
      <c r="E8" s="153" t="s">
        <v>356</v>
      </c>
      <c r="F8" s="153" t="s">
        <v>357</v>
      </c>
      <c r="G8" s="153" t="s">
        <v>358</v>
      </c>
      <c r="H8" s="153" t="s">
        <v>359</v>
      </c>
      <c r="I8" s="153" t="s">
        <v>360</v>
      </c>
      <c r="J8" s="153" t="s">
        <v>361</v>
      </c>
      <c r="K8" s="153" t="s">
        <v>362</v>
      </c>
      <c r="L8" s="153" t="s">
        <v>363</v>
      </c>
      <c r="M8" s="153" t="s">
        <v>364</v>
      </c>
      <c r="N8" s="153" t="s">
        <v>365</v>
      </c>
      <c r="O8" s="153" t="s">
        <v>366</v>
      </c>
      <c r="P8" s="153" t="s">
        <v>367</v>
      </c>
      <c r="Q8" s="153" t="s">
        <v>368</v>
      </c>
      <c r="R8" s="153" t="s">
        <v>369</v>
      </c>
      <c r="S8" s="153" t="s">
        <v>370</v>
      </c>
      <c r="T8" s="153" t="s">
        <v>371</v>
      </c>
    </row>
    <row r="9" spans="1:21" ht="89.25" customHeight="1">
      <c r="A9" s="179" t="s">
        <v>372</v>
      </c>
      <c r="B9" s="179" t="s">
        <v>373</v>
      </c>
      <c r="C9" s="179" t="s">
        <v>374</v>
      </c>
      <c r="D9" s="154" t="s">
        <v>228</v>
      </c>
      <c r="E9" s="38">
        <v>92000</v>
      </c>
      <c r="F9" s="179" t="s">
        <v>375</v>
      </c>
      <c r="G9" s="155" t="s">
        <v>376</v>
      </c>
      <c r="H9" s="2" t="s">
        <v>210</v>
      </c>
      <c r="I9" s="2" t="s">
        <v>377</v>
      </c>
      <c r="J9" s="38">
        <v>0</v>
      </c>
      <c r="K9" s="38">
        <v>31330</v>
      </c>
      <c r="L9" s="38">
        <v>46575</v>
      </c>
      <c r="M9" s="38">
        <v>65000</v>
      </c>
      <c r="N9" s="38">
        <v>80027</v>
      </c>
      <c r="O9" s="38">
        <v>80027</v>
      </c>
      <c r="P9" s="156">
        <f t="shared" ref="P9:P17" si="0">O9/E9</f>
        <v>0.86985869565217389</v>
      </c>
      <c r="Q9" s="38">
        <v>92000</v>
      </c>
      <c r="R9" s="38">
        <v>42885</v>
      </c>
      <c r="S9" s="38">
        <f>+R9</f>
        <v>42885</v>
      </c>
      <c r="T9" s="41">
        <f t="shared" ref="T9:T17" si="1">+S9/E9</f>
        <v>0.46614130434782608</v>
      </c>
    </row>
    <row r="10" spans="1:21" ht="112.5" customHeight="1">
      <c r="A10" s="179"/>
      <c r="B10" s="179"/>
      <c r="C10" s="179"/>
      <c r="D10" s="154" t="s">
        <v>231</v>
      </c>
      <c r="E10" s="40">
        <v>80</v>
      </c>
      <c r="F10" s="179"/>
      <c r="G10" s="155" t="s">
        <v>378</v>
      </c>
      <c r="H10" s="2" t="s">
        <v>211</v>
      </c>
      <c r="I10" s="2" t="s">
        <v>377</v>
      </c>
      <c r="J10" s="38">
        <v>0</v>
      </c>
      <c r="K10" s="38">
        <v>11</v>
      </c>
      <c r="L10" s="38">
        <v>4</v>
      </c>
      <c r="M10" s="40">
        <v>65</v>
      </c>
      <c r="N10" s="40">
        <v>70</v>
      </c>
      <c r="O10" s="40">
        <f>+N10+L10+K10</f>
        <v>85</v>
      </c>
      <c r="P10" s="156">
        <f t="shared" si="0"/>
        <v>1.0625</v>
      </c>
      <c r="Q10" s="38">
        <v>0</v>
      </c>
      <c r="R10" s="38">
        <v>0</v>
      </c>
      <c r="S10" s="40">
        <f>+O10+R10</f>
        <v>85</v>
      </c>
      <c r="T10" s="41">
        <f t="shared" si="1"/>
        <v>1.0625</v>
      </c>
    </row>
    <row r="11" spans="1:21" ht="66.599999999999994" customHeight="1">
      <c r="A11" s="179"/>
      <c r="B11" s="179" t="s">
        <v>379</v>
      </c>
      <c r="C11" s="179" t="s">
        <v>380</v>
      </c>
      <c r="D11" s="154" t="s">
        <v>234</v>
      </c>
      <c r="E11" s="38">
        <v>65216</v>
      </c>
      <c r="F11" s="179" t="s">
        <v>381</v>
      </c>
      <c r="G11" s="155" t="s">
        <v>382</v>
      </c>
      <c r="H11" s="2" t="s">
        <v>210</v>
      </c>
      <c r="I11" s="2" t="s">
        <v>377</v>
      </c>
      <c r="J11" s="38">
        <v>0</v>
      </c>
      <c r="K11" s="38">
        <v>14235</v>
      </c>
      <c r="L11" s="38">
        <v>36208</v>
      </c>
      <c r="M11" s="38">
        <v>65216</v>
      </c>
      <c r="N11" s="38">
        <v>58960</v>
      </c>
      <c r="O11" s="38">
        <v>58960</v>
      </c>
      <c r="P11" s="156">
        <f t="shared" si="0"/>
        <v>0.90407262021589796</v>
      </c>
      <c r="Q11" s="38">
        <v>65216</v>
      </c>
      <c r="R11" s="38">
        <v>48935</v>
      </c>
      <c r="S11" s="38">
        <f>+R11</f>
        <v>48935</v>
      </c>
      <c r="T11" s="41">
        <f t="shared" si="1"/>
        <v>0.75035267419038276</v>
      </c>
    </row>
    <row r="12" spans="1:21" ht="38.25" customHeight="1">
      <c r="A12" s="179"/>
      <c r="B12" s="179"/>
      <c r="C12" s="179"/>
      <c r="D12" s="154" t="s">
        <v>236</v>
      </c>
      <c r="E12" s="40">
        <v>150</v>
      </c>
      <c r="F12" s="179"/>
      <c r="G12" s="2" t="s">
        <v>383</v>
      </c>
      <c r="H12" s="2" t="s">
        <v>211</v>
      </c>
      <c r="I12" s="2" t="s">
        <v>377</v>
      </c>
      <c r="J12" s="38">
        <v>0</v>
      </c>
      <c r="K12" s="38">
        <v>41</v>
      </c>
      <c r="L12" s="38">
        <v>41</v>
      </c>
      <c r="M12" s="40">
        <v>41</v>
      </c>
      <c r="N12" s="40">
        <v>42</v>
      </c>
      <c r="O12" s="38">
        <v>124</v>
      </c>
      <c r="P12" s="156">
        <f t="shared" si="0"/>
        <v>0.82666666666666666</v>
      </c>
      <c r="Q12" s="38">
        <v>26</v>
      </c>
      <c r="R12" s="38">
        <v>36</v>
      </c>
      <c r="S12" s="40">
        <f>+O12+R12</f>
        <v>160</v>
      </c>
      <c r="T12" s="41">
        <f t="shared" si="1"/>
        <v>1.0666666666666667</v>
      </c>
    </row>
    <row r="13" spans="1:21" ht="86.1" customHeight="1">
      <c r="A13" s="179"/>
      <c r="B13" s="179" t="s">
        <v>384</v>
      </c>
      <c r="C13" s="2" t="s">
        <v>385</v>
      </c>
      <c r="D13" s="154" t="s">
        <v>238</v>
      </c>
      <c r="E13" s="40">
        <v>6</v>
      </c>
      <c r="F13" s="179" t="s">
        <v>386</v>
      </c>
      <c r="G13" s="2" t="s">
        <v>387</v>
      </c>
      <c r="H13" s="2" t="s">
        <v>210</v>
      </c>
      <c r="I13" s="2" t="s">
        <v>377</v>
      </c>
      <c r="J13" s="38">
        <v>0</v>
      </c>
      <c r="K13" s="38">
        <v>2</v>
      </c>
      <c r="L13" s="38">
        <v>3</v>
      </c>
      <c r="M13" s="40">
        <v>6</v>
      </c>
      <c r="N13" s="40">
        <v>5</v>
      </c>
      <c r="O13" s="38">
        <v>5</v>
      </c>
      <c r="P13" s="156">
        <f t="shared" si="0"/>
        <v>0.83333333333333337</v>
      </c>
      <c r="Q13" s="38">
        <v>6</v>
      </c>
      <c r="R13" s="38">
        <v>2</v>
      </c>
      <c r="S13" s="38">
        <f>+R13</f>
        <v>2</v>
      </c>
      <c r="T13" s="41">
        <f t="shared" si="1"/>
        <v>0.33333333333333331</v>
      </c>
    </row>
    <row r="14" spans="1:21" ht="76.5" customHeight="1">
      <c r="A14" s="179"/>
      <c r="B14" s="179"/>
      <c r="C14" s="179" t="s">
        <v>388</v>
      </c>
      <c r="D14" s="154" t="s">
        <v>240</v>
      </c>
      <c r="E14" s="40">
        <v>100</v>
      </c>
      <c r="F14" s="179"/>
      <c r="G14" s="2" t="s">
        <v>389</v>
      </c>
      <c r="H14" s="2" t="s">
        <v>211</v>
      </c>
      <c r="I14" s="2" t="s">
        <v>377</v>
      </c>
      <c r="J14" s="38">
        <v>0</v>
      </c>
      <c r="K14" s="38">
        <v>25</v>
      </c>
      <c r="L14" s="38">
        <v>25</v>
      </c>
      <c r="M14" s="40">
        <v>45</v>
      </c>
      <c r="N14" s="40">
        <v>56</v>
      </c>
      <c r="O14" s="38">
        <v>106</v>
      </c>
      <c r="P14" s="156">
        <f t="shared" si="0"/>
        <v>1.06</v>
      </c>
      <c r="Q14" s="38">
        <v>5</v>
      </c>
      <c r="R14" s="38">
        <v>5</v>
      </c>
      <c r="S14" s="40">
        <f>+R14+O14</f>
        <v>111</v>
      </c>
      <c r="T14" s="41">
        <f t="shared" si="1"/>
        <v>1.1100000000000001</v>
      </c>
    </row>
    <row r="15" spans="1:21" ht="57.4" customHeight="1">
      <c r="A15" s="179"/>
      <c r="B15" s="179"/>
      <c r="C15" s="179"/>
      <c r="D15" s="154" t="s">
        <v>242</v>
      </c>
      <c r="E15" s="40">
        <v>5</v>
      </c>
      <c r="F15" s="179"/>
      <c r="G15" s="2" t="s">
        <v>390</v>
      </c>
      <c r="H15" s="2" t="s">
        <v>211</v>
      </c>
      <c r="I15" s="2" t="s">
        <v>377</v>
      </c>
      <c r="J15" s="38">
        <v>0</v>
      </c>
      <c r="K15" s="38">
        <v>1</v>
      </c>
      <c r="L15" s="38">
        <v>1</v>
      </c>
      <c r="M15" s="40">
        <v>2</v>
      </c>
      <c r="N15" s="40">
        <v>2</v>
      </c>
      <c r="O15" s="38">
        <v>4</v>
      </c>
      <c r="P15" s="156">
        <f t="shared" si="0"/>
        <v>0.8</v>
      </c>
      <c r="Q15" s="38">
        <v>1</v>
      </c>
      <c r="R15" s="38">
        <v>0</v>
      </c>
      <c r="S15" s="40">
        <f>+O15+R15</f>
        <v>4</v>
      </c>
      <c r="T15" s="41">
        <f t="shared" si="1"/>
        <v>0.8</v>
      </c>
    </row>
    <row r="16" spans="1:21" ht="87.2" customHeight="1">
      <c r="A16" s="179"/>
      <c r="B16" s="179" t="s">
        <v>391</v>
      </c>
      <c r="C16" s="179" t="s">
        <v>392</v>
      </c>
      <c r="D16" s="154" t="s">
        <v>246</v>
      </c>
      <c r="E16" s="51">
        <v>0.499</v>
      </c>
      <c r="F16" s="2" t="s">
        <v>393</v>
      </c>
      <c r="G16" s="157" t="s">
        <v>394</v>
      </c>
      <c r="H16" s="2" t="s">
        <v>210</v>
      </c>
      <c r="I16" s="2" t="s">
        <v>377</v>
      </c>
      <c r="J16" s="158">
        <v>0.1</v>
      </c>
      <c r="K16" s="38">
        <v>0.16259999999999999</v>
      </c>
      <c r="L16" s="156">
        <v>0.28470000000000001</v>
      </c>
      <c r="M16" s="44">
        <v>0.4</v>
      </c>
      <c r="N16" s="156">
        <v>0.375</v>
      </c>
      <c r="O16" s="156">
        <v>0.375</v>
      </c>
      <c r="P16" s="156">
        <f t="shared" si="0"/>
        <v>0.75150300601202402</v>
      </c>
      <c r="Q16" s="41">
        <v>0.499</v>
      </c>
      <c r="R16" s="41">
        <v>0.41560000000000002</v>
      </c>
      <c r="S16" s="41">
        <f>+R16</f>
        <v>0.41560000000000002</v>
      </c>
      <c r="T16" s="41">
        <f t="shared" si="1"/>
        <v>0.83286573146292586</v>
      </c>
      <c r="U16" s="159"/>
    </row>
    <row r="17" spans="1:20" ht="76.5" customHeight="1">
      <c r="A17" s="179"/>
      <c r="B17" s="179"/>
      <c r="C17" s="179"/>
      <c r="D17" s="154" t="s">
        <v>244</v>
      </c>
      <c r="E17" s="44">
        <v>1</v>
      </c>
      <c r="F17" s="2" t="s">
        <v>395</v>
      </c>
      <c r="G17" s="160" t="s">
        <v>396</v>
      </c>
      <c r="H17" s="2" t="s">
        <v>210</v>
      </c>
      <c r="I17" s="2" t="s">
        <v>377</v>
      </c>
      <c r="J17" s="38">
        <v>0</v>
      </c>
      <c r="K17" s="38">
        <v>0</v>
      </c>
      <c r="L17" s="156">
        <v>0.2</v>
      </c>
      <c r="M17" s="44">
        <v>0.5</v>
      </c>
      <c r="N17" s="41">
        <v>0.30000000000000004</v>
      </c>
      <c r="O17" s="41">
        <v>0.30000000000000004</v>
      </c>
      <c r="P17" s="156">
        <f t="shared" si="0"/>
        <v>0.30000000000000004</v>
      </c>
      <c r="Q17" s="41">
        <v>1</v>
      </c>
      <c r="R17" s="41">
        <v>0.34</v>
      </c>
      <c r="S17" s="41">
        <f>+R17/E17</f>
        <v>0.34</v>
      </c>
      <c r="T17" s="41">
        <f t="shared" si="1"/>
        <v>0.34</v>
      </c>
    </row>
    <row r="18" spans="1:20" ht="52.9" customHeight="1">
      <c r="A18" s="179"/>
      <c r="B18" s="179"/>
      <c r="C18" s="179"/>
      <c r="D18" s="179" t="s">
        <v>248</v>
      </c>
      <c r="E18" s="213">
        <v>1890000</v>
      </c>
      <c r="F18" s="179" t="s">
        <v>393</v>
      </c>
      <c r="G18" s="155" t="s">
        <v>397</v>
      </c>
      <c r="H18" s="179" t="s">
        <v>212</v>
      </c>
      <c r="I18" s="179" t="s">
        <v>377</v>
      </c>
      <c r="J18" s="38">
        <v>0</v>
      </c>
      <c r="K18" s="38">
        <v>356561</v>
      </c>
      <c r="L18" s="38">
        <v>453413</v>
      </c>
      <c r="M18" s="38">
        <v>300000</v>
      </c>
      <c r="N18" s="40">
        <v>417751</v>
      </c>
      <c r="O18" s="38">
        <f>+N18+L18+K18+J18</f>
        <v>1227725</v>
      </c>
      <c r="P18" s="41">
        <f>+O18/(M18*3)</f>
        <v>1.3641388888888888</v>
      </c>
      <c r="Q18" s="38">
        <v>300000</v>
      </c>
      <c r="R18" s="38">
        <v>143520</v>
      </c>
      <c r="S18" s="40">
        <f>+O18+R18</f>
        <v>1371245</v>
      </c>
      <c r="T18" s="41">
        <v>1.30594761904762</v>
      </c>
    </row>
    <row r="19" spans="1:20" ht="38.85" customHeight="1">
      <c r="A19" s="179"/>
      <c r="B19" s="179"/>
      <c r="C19" s="179"/>
      <c r="D19" s="179"/>
      <c r="E19" s="213"/>
      <c r="F19" s="179"/>
      <c r="G19" s="155" t="s">
        <v>398</v>
      </c>
      <c r="H19" s="179"/>
      <c r="I19" s="179"/>
      <c r="J19" s="38">
        <v>277543</v>
      </c>
      <c r="K19" s="38">
        <v>489625</v>
      </c>
      <c r="L19" s="38">
        <v>437144</v>
      </c>
      <c r="M19" s="38">
        <v>280000</v>
      </c>
      <c r="N19" s="40">
        <v>490223</v>
      </c>
      <c r="O19" s="38">
        <f>+N19+L19+K19+J19</f>
        <v>1694535</v>
      </c>
      <c r="P19" s="41">
        <f>+O19/(M19*4)</f>
        <v>1.5129776785714286</v>
      </c>
      <c r="Q19" s="38">
        <v>280000</v>
      </c>
      <c r="R19" s="38">
        <v>129085</v>
      </c>
      <c r="S19" s="40">
        <f>+O19+R19</f>
        <v>1823620</v>
      </c>
      <c r="T19" s="41">
        <v>1.62823214285714</v>
      </c>
    </row>
    <row r="20" spans="1:20" ht="55.15" customHeight="1">
      <c r="A20" s="179"/>
      <c r="B20" s="179"/>
      <c r="C20" s="179"/>
      <c r="D20" s="179"/>
      <c r="E20" s="213"/>
      <c r="F20" s="179" t="s">
        <v>399</v>
      </c>
      <c r="G20" s="155" t="s">
        <v>400</v>
      </c>
      <c r="H20" s="179"/>
      <c r="I20" s="179"/>
      <c r="J20" s="38">
        <v>1051971</v>
      </c>
      <c r="K20" s="38">
        <v>1048011</v>
      </c>
      <c r="L20" s="38">
        <v>1680645</v>
      </c>
      <c r="M20" s="38">
        <v>1140000</v>
      </c>
      <c r="N20" s="40">
        <v>1738401</v>
      </c>
      <c r="O20" s="38">
        <f>+N20+L20+K20+J20</f>
        <v>5519028</v>
      </c>
      <c r="P20" s="41">
        <f>+O20/(M20*4)</f>
        <v>1.2103131578947368</v>
      </c>
      <c r="Q20" s="38">
        <v>1140000</v>
      </c>
      <c r="R20" s="38">
        <v>277787</v>
      </c>
      <c r="S20" s="40">
        <f>+O20+R20</f>
        <v>5796815</v>
      </c>
      <c r="T20" s="41">
        <v>1.27123135964912</v>
      </c>
    </row>
    <row r="21" spans="1:20" ht="12.75" customHeight="1">
      <c r="A21" s="179"/>
      <c r="B21" s="179"/>
      <c r="C21" s="179"/>
      <c r="D21" s="179"/>
      <c r="E21" s="213"/>
      <c r="F21" s="179"/>
      <c r="G21" s="155" t="s">
        <v>68</v>
      </c>
      <c r="H21" s="179"/>
      <c r="I21" s="179"/>
      <c r="J21" s="38">
        <f>J18+J19+J20</f>
        <v>1329514</v>
      </c>
      <c r="K21" s="38">
        <f>K18+K19+K20</f>
        <v>1894197</v>
      </c>
      <c r="L21" s="38">
        <f>L18+L19+L20</f>
        <v>2571202</v>
      </c>
      <c r="M21" s="38">
        <v>1890000</v>
      </c>
      <c r="N21" s="38">
        <f>+N18+N19+N20</f>
        <v>2646375</v>
      </c>
      <c r="O21" s="38">
        <f>+N21+L21+K21+J21</f>
        <v>8441288</v>
      </c>
      <c r="P21" s="41">
        <f>+O21/(M21*4)</f>
        <v>1.1165724867724869</v>
      </c>
      <c r="Q21" s="38">
        <v>1890000</v>
      </c>
      <c r="R21" s="38">
        <v>550392</v>
      </c>
      <c r="S21" s="38">
        <f>+R21+O21</f>
        <v>8991680</v>
      </c>
      <c r="T21" s="41">
        <f>+S21/(Q21*4)</f>
        <v>1.1893756613756614</v>
      </c>
    </row>
    <row r="22" spans="1:20" ht="78" customHeight="1">
      <c r="A22" s="179"/>
      <c r="B22" s="179"/>
      <c r="C22" s="179"/>
      <c r="D22" s="154" t="s">
        <v>250</v>
      </c>
      <c r="E22" s="40">
        <v>2489</v>
      </c>
      <c r="F22" s="179"/>
      <c r="G22" s="155" t="s">
        <v>401</v>
      </c>
      <c r="H22" s="2" t="s">
        <v>211</v>
      </c>
      <c r="I22" s="2" t="s">
        <v>377</v>
      </c>
      <c r="J22" s="38">
        <v>453</v>
      </c>
      <c r="K22" s="38">
        <v>652</v>
      </c>
      <c r="L22" s="38">
        <v>574</v>
      </c>
      <c r="M22" s="38">
        <v>753</v>
      </c>
      <c r="N22" s="38">
        <v>781</v>
      </c>
      <c r="O22" s="38">
        <v>2460</v>
      </c>
      <c r="P22" s="156">
        <f t="shared" ref="P22:P27" si="2">O22/E22</f>
        <v>0.98834873443149862</v>
      </c>
      <c r="Q22" s="38">
        <v>29</v>
      </c>
      <c r="R22" s="38">
        <v>123</v>
      </c>
      <c r="S22" s="38">
        <f>+R22+O22</f>
        <v>2583</v>
      </c>
      <c r="T22" s="41">
        <f>+S22/E22</f>
        <v>1.0377661711530735</v>
      </c>
    </row>
    <row r="23" spans="1:20" ht="98.45" customHeight="1">
      <c r="A23" s="179"/>
      <c r="B23" s="179"/>
      <c r="C23" s="179"/>
      <c r="D23" s="154" t="s">
        <v>402</v>
      </c>
      <c r="E23" s="41">
        <v>0.2</v>
      </c>
      <c r="F23" s="179"/>
      <c r="G23" s="2" t="s">
        <v>403</v>
      </c>
      <c r="H23" s="2" t="s">
        <v>212</v>
      </c>
      <c r="I23" s="2" t="s">
        <v>377</v>
      </c>
      <c r="J23" s="38">
        <v>0</v>
      </c>
      <c r="K23" s="38">
        <v>0</v>
      </c>
      <c r="L23" s="41">
        <v>0.27850000000000003</v>
      </c>
      <c r="M23" s="41">
        <v>0.2</v>
      </c>
      <c r="N23" s="41">
        <v>0.2</v>
      </c>
      <c r="O23" s="41">
        <v>0.2</v>
      </c>
      <c r="P23" s="41">
        <f t="shared" si="2"/>
        <v>1</v>
      </c>
      <c r="Q23" s="41">
        <v>0.2</v>
      </c>
      <c r="R23" s="41">
        <v>0.06</v>
      </c>
      <c r="S23" s="41">
        <f>+(R23+N23+L23)/3</f>
        <v>0.17949999999999999</v>
      </c>
      <c r="T23" s="41">
        <f>+S23/E23</f>
        <v>0.89749999999999996</v>
      </c>
    </row>
    <row r="24" spans="1:20" ht="53.85" customHeight="1">
      <c r="A24" s="179"/>
      <c r="B24" s="179" t="s">
        <v>391</v>
      </c>
      <c r="C24" s="2" t="s">
        <v>404</v>
      </c>
      <c r="D24" s="154" t="s">
        <v>253</v>
      </c>
      <c r="E24" s="40">
        <v>50</v>
      </c>
      <c r="F24" s="179"/>
      <c r="G24" s="2" t="s">
        <v>405</v>
      </c>
      <c r="H24" s="2" t="s">
        <v>211</v>
      </c>
      <c r="I24" s="2" t="s">
        <v>377</v>
      </c>
      <c r="J24" s="38">
        <v>1</v>
      </c>
      <c r="K24" s="38">
        <v>14</v>
      </c>
      <c r="L24" s="38">
        <v>25</v>
      </c>
      <c r="M24" s="40">
        <v>10</v>
      </c>
      <c r="N24" s="40">
        <v>10</v>
      </c>
      <c r="O24" s="38">
        <f>J24+K24+L24+M24</f>
        <v>50</v>
      </c>
      <c r="P24" s="156">
        <f t="shared" si="2"/>
        <v>1</v>
      </c>
      <c r="Q24" s="38">
        <v>0</v>
      </c>
      <c r="R24" s="38">
        <v>0</v>
      </c>
      <c r="S24" s="40">
        <f>+R24+O24</f>
        <v>50</v>
      </c>
      <c r="T24" s="41">
        <f>+S24/E24</f>
        <v>1</v>
      </c>
    </row>
    <row r="25" spans="1:20" ht="47.1" customHeight="1">
      <c r="A25" s="179"/>
      <c r="B25" s="179"/>
      <c r="C25" s="2" t="s">
        <v>406</v>
      </c>
      <c r="D25" s="154" t="s">
        <v>254</v>
      </c>
      <c r="E25" s="40">
        <v>7</v>
      </c>
      <c r="F25" s="179"/>
      <c r="G25" s="2" t="s">
        <v>407</v>
      </c>
      <c r="H25" s="2" t="s">
        <v>210</v>
      </c>
      <c r="I25" s="2" t="s">
        <v>377</v>
      </c>
      <c r="J25" s="38">
        <v>1</v>
      </c>
      <c r="K25" s="38">
        <v>4</v>
      </c>
      <c r="L25" s="38">
        <v>4</v>
      </c>
      <c r="M25" s="40">
        <v>5</v>
      </c>
      <c r="N25" s="40">
        <v>5</v>
      </c>
      <c r="O25" s="38">
        <v>5</v>
      </c>
      <c r="P25" s="156">
        <f t="shared" si="2"/>
        <v>0.7142857142857143</v>
      </c>
      <c r="Q25" s="38">
        <v>7</v>
      </c>
      <c r="R25" s="38">
        <v>0</v>
      </c>
      <c r="S25" s="38">
        <f>+O25</f>
        <v>5</v>
      </c>
      <c r="T25" s="41">
        <f>+S25/E25</f>
        <v>0.7142857142857143</v>
      </c>
    </row>
    <row r="26" spans="1:20" ht="76.900000000000006" customHeight="1">
      <c r="A26" s="179"/>
      <c r="B26" s="179"/>
      <c r="C26" s="2" t="s">
        <v>408</v>
      </c>
      <c r="D26" s="154" t="s">
        <v>256</v>
      </c>
      <c r="E26" s="38">
        <v>303000</v>
      </c>
      <c r="F26" s="179"/>
      <c r="G26" s="155" t="s">
        <v>409</v>
      </c>
      <c r="H26" s="2" t="s">
        <v>211</v>
      </c>
      <c r="I26" s="2" t="s">
        <v>377</v>
      </c>
      <c r="J26" s="38">
        <v>45548</v>
      </c>
      <c r="K26" s="38">
        <v>65050</v>
      </c>
      <c r="L26" s="38">
        <v>71165</v>
      </c>
      <c r="M26" s="38">
        <v>85000</v>
      </c>
      <c r="N26" s="38">
        <v>100307</v>
      </c>
      <c r="O26" s="38">
        <v>282070</v>
      </c>
      <c r="P26" s="156">
        <f t="shared" si="2"/>
        <v>0.9309240924092409</v>
      </c>
      <c r="Q26" s="38">
        <v>20930</v>
      </c>
      <c r="R26" s="38">
        <v>31459</v>
      </c>
      <c r="S26" s="40">
        <f>+R26+O26</f>
        <v>313529</v>
      </c>
      <c r="T26" s="41">
        <f>+S26/E26</f>
        <v>1.0347491749174917</v>
      </c>
    </row>
    <row r="27" spans="1:20" ht="75.75" customHeight="1">
      <c r="A27" s="179"/>
      <c r="B27" s="179"/>
      <c r="C27" s="2" t="s">
        <v>410</v>
      </c>
      <c r="D27" s="154" t="s">
        <v>411</v>
      </c>
      <c r="E27" s="40">
        <v>1</v>
      </c>
      <c r="F27" s="179"/>
      <c r="G27" s="2" t="s">
        <v>412</v>
      </c>
      <c r="H27" s="2"/>
      <c r="I27" s="2" t="s">
        <v>377</v>
      </c>
      <c r="J27" s="38">
        <v>1</v>
      </c>
      <c r="K27" s="38" t="s">
        <v>413</v>
      </c>
      <c r="L27" s="40" t="s">
        <v>414</v>
      </c>
      <c r="M27" s="40" t="s">
        <v>413</v>
      </c>
      <c r="N27" s="40" t="s">
        <v>413</v>
      </c>
      <c r="O27" s="38">
        <v>1</v>
      </c>
      <c r="P27" s="156">
        <f t="shared" si="2"/>
        <v>1</v>
      </c>
      <c r="Q27" s="38" t="s">
        <v>413</v>
      </c>
      <c r="R27" s="38">
        <v>0</v>
      </c>
      <c r="S27" s="38" t="s">
        <v>413</v>
      </c>
      <c r="T27" s="38" t="s">
        <v>413</v>
      </c>
    </row>
    <row r="28" spans="1:20" ht="50.65" hidden="1" customHeight="1">
      <c r="A28" s="179"/>
      <c r="B28" s="161"/>
      <c r="C28" s="2" t="s">
        <v>413</v>
      </c>
      <c r="D28" s="2" t="s">
        <v>415</v>
      </c>
      <c r="E28" s="162"/>
      <c r="F28" s="162"/>
      <c r="G28" s="2" t="s">
        <v>415</v>
      </c>
      <c r="H28" s="2" t="s">
        <v>249</v>
      </c>
      <c r="I28" s="2" t="s">
        <v>416</v>
      </c>
      <c r="J28" s="38">
        <v>258674</v>
      </c>
      <c r="K28" s="38">
        <v>278530</v>
      </c>
      <c r="L28" s="38">
        <v>448820</v>
      </c>
      <c r="M28" s="38">
        <v>260000</v>
      </c>
      <c r="N28" s="38"/>
      <c r="O28" s="38" t="e">
        <f>NA()</f>
        <v>#N/A</v>
      </c>
      <c r="P28" s="41">
        <v>0.51226923076923103</v>
      </c>
      <c r="Q28" s="38">
        <v>260000</v>
      </c>
      <c r="R28" s="38"/>
      <c r="S28" s="40"/>
      <c r="T28" s="38">
        <v>260000</v>
      </c>
    </row>
    <row r="29" spans="1:20" ht="57.4" hidden="1" customHeight="1">
      <c r="A29" s="179"/>
      <c r="B29" s="161"/>
      <c r="C29" s="2" t="s">
        <v>413</v>
      </c>
      <c r="D29" s="2" t="s">
        <v>417</v>
      </c>
      <c r="E29" s="162"/>
      <c r="F29" s="162"/>
      <c r="G29" s="2" t="s">
        <v>417</v>
      </c>
      <c r="H29" s="2" t="s">
        <v>249</v>
      </c>
      <c r="I29" s="2" t="s">
        <v>416</v>
      </c>
      <c r="J29" s="38">
        <v>9686</v>
      </c>
      <c r="K29" s="38">
        <v>9658</v>
      </c>
      <c r="L29" s="38">
        <v>14148</v>
      </c>
      <c r="M29" s="38">
        <v>10000</v>
      </c>
      <c r="N29" s="38"/>
      <c r="O29" s="38" t="e">
        <f>NA()</f>
        <v>#N/A</v>
      </c>
      <c r="P29" s="41">
        <v>1.0461</v>
      </c>
      <c r="Q29" s="38">
        <v>10000</v>
      </c>
      <c r="R29" s="38"/>
      <c r="S29" s="40"/>
      <c r="T29" s="38">
        <v>10000</v>
      </c>
    </row>
    <row r="30" spans="1:20" ht="53.85" customHeight="1">
      <c r="A30" s="179"/>
      <c r="B30" s="2" t="s">
        <v>418</v>
      </c>
      <c r="C30" s="2" t="s">
        <v>419</v>
      </c>
      <c r="D30" s="154" t="s">
        <v>257</v>
      </c>
      <c r="E30" s="40">
        <v>6</v>
      </c>
      <c r="F30" s="2" t="s">
        <v>420</v>
      </c>
      <c r="G30" s="2" t="s">
        <v>421</v>
      </c>
      <c r="H30" s="2" t="s">
        <v>211</v>
      </c>
      <c r="I30" s="2" t="s">
        <v>377</v>
      </c>
      <c r="J30" s="38">
        <v>1</v>
      </c>
      <c r="K30" s="38">
        <v>2</v>
      </c>
      <c r="L30" s="40">
        <v>1</v>
      </c>
      <c r="M30" s="40">
        <v>1</v>
      </c>
      <c r="N30" s="40">
        <v>1</v>
      </c>
      <c r="O30" s="38">
        <v>5</v>
      </c>
      <c r="P30" s="156">
        <f>O30/E30</f>
        <v>0.83333333333333337</v>
      </c>
      <c r="Q30" s="38">
        <v>1</v>
      </c>
      <c r="R30" s="38">
        <v>0</v>
      </c>
      <c r="S30" s="40">
        <f>+R30+O30</f>
        <v>5</v>
      </c>
      <c r="T30" s="41">
        <f>+S30/E30</f>
        <v>0.83333333333333337</v>
      </c>
    </row>
    <row r="31" spans="1:20" ht="123.95" customHeight="1">
      <c r="A31" s="179" t="s">
        <v>422</v>
      </c>
      <c r="B31" s="2" t="s">
        <v>423</v>
      </c>
      <c r="C31" s="2" t="s">
        <v>424</v>
      </c>
      <c r="D31" s="154" t="s">
        <v>258</v>
      </c>
      <c r="E31" s="40">
        <v>6</v>
      </c>
      <c r="F31" s="179" t="s">
        <v>425</v>
      </c>
      <c r="G31" s="2" t="s">
        <v>426</v>
      </c>
      <c r="H31" s="2" t="s">
        <v>212</v>
      </c>
      <c r="I31" s="2" t="s">
        <v>377</v>
      </c>
      <c r="J31" s="38">
        <v>6</v>
      </c>
      <c r="K31" s="38">
        <v>6</v>
      </c>
      <c r="L31" s="40">
        <v>6</v>
      </c>
      <c r="M31" s="40">
        <v>6</v>
      </c>
      <c r="N31" s="40">
        <v>6</v>
      </c>
      <c r="O31" s="38">
        <v>6</v>
      </c>
      <c r="P31" s="156">
        <f>O31/E31</f>
        <v>1</v>
      </c>
      <c r="Q31" s="38">
        <v>6</v>
      </c>
      <c r="R31" s="38">
        <v>6</v>
      </c>
      <c r="S31" s="40">
        <v>6</v>
      </c>
      <c r="T31" s="41">
        <f>+S31/E31</f>
        <v>1</v>
      </c>
    </row>
    <row r="32" spans="1:20" ht="110.45" hidden="1" customHeight="1">
      <c r="A32" s="179"/>
      <c r="B32" s="2" t="s">
        <v>427</v>
      </c>
      <c r="C32" s="2" t="s">
        <v>413</v>
      </c>
      <c r="D32" s="2" t="s">
        <v>427</v>
      </c>
      <c r="E32" s="40"/>
      <c r="F32" s="179"/>
      <c r="G32" s="2" t="s">
        <v>427</v>
      </c>
      <c r="H32" s="38" t="s">
        <v>211</v>
      </c>
      <c r="I32" s="2" t="s">
        <v>416</v>
      </c>
      <c r="J32" s="38">
        <v>0</v>
      </c>
      <c r="K32" s="38">
        <v>2726</v>
      </c>
      <c r="L32" s="40">
        <v>0</v>
      </c>
      <c r="M32" s="38">
        <v>2800</v>
      </c>
      <c r="N32" s="38"/>
      <c r="O32" s="40">
        <f>+(2726+1215)</f>
        <v>3941</v>
      </c>
      <c r="P32" s="41">
        <v>0.49262499999999998</v>
      </c>
      <c r="Q32" s="38">
        <v>1200</v>
      </c>
      <c r="R32" s="40"/>
      <c r="S32" s="40"/>
      <c r="T32" s="38">
        <v>1200</v>
      </c>
    </row>
    <row r="33" spans="1:20" ht="159.6" customHeight="1">
      <c r="A33" s="179"/>
      <c r="B33" s="2" t="s">
        <v>428</v>
      </c>
      <c r="C33" s="2" t="s">
        <v>429</v>
      </c>
      <c r="D33" s="154" t="s">
        <v>430</v>
      </c>
      <c r="E33" s="40">
        <v>1</v>
      </c>
      <c r="F33" s="179"/>
      <c r="G33" s="163" t="s">
        <v>431</v>
      </c>
      <c r="H33" s="2" t="s">
        <v>212</v>
      </c>
      <c r="I33" s="2" t="s">
        <v>377</v>
      </c>
      <c r="J33" s="38">
        <v>0</v>
      </c>
      <c r="K33" s="38">
        <v>1</v>
      </c>
      <c r="L33" s="40">
        <v>1</v>
      </c>
      <c r="M33" s="40">
        <v>0</v>
      </c>
      <c r="N33" s="40">
        <v>0</v>
      </c>
      <c r="O33" s="38">
        <v>0</v>
      </c>
      <c r="P33" s="156">
        <f>K33/E33</f>
        <v>1</v>
      </c>
      <c r="Q33" s="38">
        <v>1</v>
      </c>
      <c r="R33" s="38">
        <v>0</v>
      </c>
      <c r="S33" s="40">
        <v>1</v>
      </c>
      <c r="T33" s="41">
        <f>+S33/E33</f>
        <v>1</v>
      </c>
    </row>
    <row r="34" spans="1:20" ht="95.25" customHeight="1">
      <c r="A34" s="179"/>
      <c r="B34" s="2" t="s">
        <v>432</v>
      </c>
      <c r="C34" s="2" t="s">
        <v>433</v>
      </c>
      <c r="D34" s="154" t="s">
        <v>262</v>
      </c>
      <c r="E34" s="44">
        <v>1</v>
      </c>
      <c r="F34" s="179" t="s">
        <v>434</v>
      </c>
      <c r="G34" s="160" t="s">
        <v>435</v>
      </c>
      <c r="H34" s="2" t="s">
        <v>210</v>
      </c>
      <c r="I34" s="2" t="s">
        <v>377</v>
      </c>
      <c r="J34" s="158">
        <v>0.57999999999999996</v>
      </c>
      <c r="K34" s="38">
        <v>0.54</v>
      </c>
      <c r="L34" s="164">
        <v>0.66</v>
      </c>
      <c r="M34" s="44">
        <v>0.8</v>
      </c>
      <c r="N34" s="44">
        <v>0.78</v>
      </c>
      <c r="O34" s="41">
        <v>0.78</v>
      </c>
      <c r="P34" s="156">
        <f>O34/E34</f>
        <v>0.78</v>
      </c>
      <c r="Q34" s="41">
        <v>1</v>
      </c>
      <c r="R34" s="41">
        <v>0.81</v>
      </c>
      <c r="S34" s="41">
        <f>+R34</f>
        <v>0.81</v>
      </c>
      <c r="T34" s="41">
        <f>+S34/E34</f>
        <v>0.81</v>
      </c>
    </row>
    <row r="35" spans="1:20" ht="53.85" hidden="1" customHeight="1">
      <c r="A35" s="2" t="s">
        <v>413</v>
      </c>
      <c r="B35" s="2" t="s">
        <v>413</v>
      </c>
      <c r="C35" s="2" t="s">
        <v>413</v>
      </c>
      <c r="D35" s="2" t="s">
        <v>436</v>
      </c>
      <c r="E35" s="2"/>
      <c r="F35" s="179"/>
      <c r="G35" s="2" t="s">
        <v>436</v>
      </c>
      <c r="H35" s="2" t="s">
        <v>211</v>
      </c>
      <c r="I35" s="2" t="s">
        <v>416</v>
      </c>
      <c r="J35" s="38">
        <v>0</v>
      </c>
      <c r="K35" s="38">
        <v>1</v>
      </c>
      <c r="L35" s="40">
        <v>1</v>
      </c>
      <c r="M35" s="38">
        <v>1</v>
      </c>
      <c r="N35" s="38"/>
      <c r="O35" s="40">
        <v>3</v>
      </c>
      <c r="P35" s="40"/>
      <c r="Q35" s="38">
        <v>1</v>
      </c>
      <c r="R35" s="40"/>
      <c r="S35" s="41">
        <v>0.75</v>
      </c>
      <c r="T35" s="38">
        <v>1</v>
      </c>
    </row>
    <row r="36" spans="1:20" ht="48.2" hidden="1" customHeight="1">
      <c r="A36" s="2" t="s">
        <v>413</v>
      </c>
      <c r="B36" s="2" t="s">
        <v>413</v>
      </c>
      <c r="C36" s="2" t="s">
        <v>413</v>
      </c>
      <c r="D36" s="2" t="s">
        <v>437</v>
      </c>
      <c r="E36" s="2"/>
      <c r="F36" s="179"/>
      <c r="G36" s="2" t="s">
        <v>437</v>
      </c>
      <c r="H36" s="2" t="s">
        <v>210</v>
      </c>
      <c r="I36" s="2" t="s">
        <v>416</v>
      </c>
      <c r="J36" s="38">
        <v>1</v>
      </c>
      <c r="K36" s="38">
        <v>1</v>
      </c>
      <c r="L36" s="40">
        <v>1</v>
      </c>
      <c r="M36" s="38">
        <v>2</v>
      </c>
      <c r="N36" s="38"/>
      <c r="O36" s="40">
        <v>1</v>
      </c>
      <c r="P36" s="40"/>
      <c r="Q36" s="38">
        <v>2</v>
      </c>
      <c r="R36" s="40"/>
      <c r="S36" s="41">
        <v>0.5</v>
      </c>
      <c r="T36" s="38">
        <v>2</v>
      </c>
    </row>
    <row r="37" spans="1:20" ht="47.1" hidden="1" customHeight="1">
      <c r="A37" s="2" t="s">
        <v>413</v>
      </c>
      <c r="B37" s="2" t="s">
        <v>413</v>
      </c>
      <c r="C37" s="2" t="s">
        <v>413</v>
      </c>
      <c r="D37" s="2" t="s">
        <v>438</v>
      </c>
      <c r="E37" s="132"/>
      <c r="F37" s="179" t="s">
        <v>439</v>
      </c>
      <c r="G37" s="2" t="s">
        <v>438</v>
      </c>
      <c r="H37" s="155" t="s">
        <v>212</v>
      </c>
      <c r="I37" s="155" t="s">
        <v>416</v>
      </c>
      <c r="J37" s="38">
        <v>8332</v>
      </c>
      <c r="K37" s="38">
        <v>615155</v>
      </c>
      <c r="L37" s="38">
        <v>986126</v>
      </c>
      <c r="M37" s="38">
        <v>1000000</v>
      </c>
      <c r="N37" s="38"/>
      <c r="O37" s="38" t="e">
        <f>NA()</f>
        <v>#N/A</v>
      </c>
      <c r="P37" s="38"/>
      <c r="Q37" s="38">
        <v>1000000</v>
      </c>
      <c r="R37" s="38"/>
      <c r="S37" s="41">
        <v>1.26478</v>
      </c>
      <c r="T37" s="38">
        <v>1000000</v>
      </c>
    </row>
    <row r="38" spans="1:20" ht="43.5" hidden="1" customHeight="1">
      <c r="A38" s="2" t="s">
        <v>413</v>
      </c>
      <c r="B38" s="2" t="s">
        <v>413</v>
      </c>
      <c r="C38" s="2" t="s">
        <v>413</v>
      </c>
      <c r="D38" s="2" t="s">
        <v>440</v>
      </c>
      <c r="E38" s="132"/>
      <c r="F38" s="179"/>
      <c r="G38" s="2" t="s">
        <v>440</v>
      </c>
      <c r="H38" s="155" t="s">
        <v>210</v>
      </c>
      <c r="I38" s="155" t="s">
        <v>416</v>
      </c>
      <c r="J38" s="38">
        <v>1852</v>
      </c>
      <c r="K38" s="38">
        <v>2855</v>
      </c>
      <c r="L38" s="38">
        <v>3695</v>
      </c>
      <c r="M38" s="38">
        <v>3000</v>
      </c>
      <c r="N38" s="38"/>
      <c r="O38" s="40">
        <v>3724</v>
      </c>
      <c r="P38" s="40"/>
      <c r="Q38" s="38">
        <v>3000</v>
      </c>
      <c r="R38" s="40"/>
      <c r="S38" s="41">
        <v>1.2413333333333301</v>
      </c>
      <c r="T38" s="38">
        <v>3000</v>
      </c>
    </row>
    <row r="39" spans="1:20" ht="60.75" hidden="1" customHeight="1">
      <c r="A39" s="2" t="s">
        <v>413</v>
      </c>
      <c r="B39" s="2" t="s">
        <v>413</v>
      </c>
      <c r="C39" s="2" t="s">
        <v>413</v>
      </c>
      <c r="D39" s="2" t="s">
        <v>441</v>
      </c>
      <c r="E39" s="132"/>
      <c r="F39" s="179"/>
      <c r="G39" s="2" t="s">
        <v>441</v>
      </c>
      <c r="H39" s="2" t="s">
        <v>212</v>
      </c>
      <c r="I39" s="2" t="s">
        <v>416</v>
      </c>
      <c r="J39" s="38">
        <v>0</v>
      </c>
      <c r="K39" s="38">
        <v>1</v>
      </c>
      <c r="L39" s="40">
        <v>1</v>
      </c>
      <c r="M39" s="38">
        <v>1</v>
      </c>
      <c r="N39" s="38"/>
      <c r="O39" s="40">
        <v>1</v>
      </c>
      <c r="P39" s="40"/>
      <c r="Q39" s="38">
        <v>2</v>
      </c>
      <c r="R39" s="40"/>
      <c r="S39" s="41">
        <v>1</v>
      </c>
      <c r="T39" s="38">
        <v>2</v>
      </c>
    </row>
    <row r="40" spans="1:20" ht="15.75" customHeight="1">
      <c r="A40" s="165"/>
      <c r="B40" s="166"/>
      <c r="C40" s="166"/>
      <c r="D40" s="165"/>
      <c r="E40" s="166"/>
      <c r="F40" s="166"/>
      <c r="G40" s="167"/>
      <c r="H40" s="166"/>
      <c r="I40" s="166"/>
      <c r="J40" s="166"/>
      <c r="K40" s="166"/>
      <c r="L40" s="166"/>
      <c r="M40" s="166"/>
      <c r="N40" s="166"/>
      <c r="S40" s="168"/>
    </row>
    <row r="41" spans="1:20" ht="15.75" customHeight="1">
      <c r="A41" s="165"/>
      <c r="B41" s="166"/>
      <c r="C41" s="166"/>
      <c r="D41" s="165"/>
      <c r="E41" s="166"/>
      <c r="F41" s="166"/>
      <c r="G41" s="167"/>
      <c r="H41" s="166"/>
      <c r="I41" s="166"/>
      <c r="J41" s="166"/>
      <c r="K41" s="166"/>
      <c r="L41" s="166"/>
      <c r="M41" s="166"/>
      <c r="N41" s="166"/>
      <c r="S41" s="168"/>
    </row>
    <row r="42" spans="1:20" ht="15.75" customHeight="1">
      <c r="A42" s="165"/>
      <c r="B42" s="166"/>
      <c r="C42" s="166"/>
      <c r="D42" s="165"/>
      <c r="E42" s="166"/>
      <c r="F42" s="166"/>
      <c r="G42" s="167"/>
      <c r="H42" s="166"/>
      <c r="I42" s="166"/>
      <c r="J42" s="166"/>
      <c r="K42" s="166"/>
      <c r="L42" s="166"/>
      <c r="M42" s="166"/>
      <c r="N42" s="166"/>
      <c r="S42" s="168"/>
    </row>
    <row r="43" spans="1:20" ht="15.75" customHeight="1">
      <c r="A43" s="165"/>
      <c r="B43" s="166"/>
      <c r="C43" s="166"/>
      <c r="D43" s="165"/>
      <c r="E43" s="166"/>
      <c r="F43" s="166" t="s">
        <v>442</v>
      </c>
      <c r="G43" s="167"/>
      <c r="H43" s="166"/>
      <c r="I43" s="166"/>
      <c r="J43" s="166"/>
      <c r="K43" s="166"/>
      <c r="L43" s="166"/>
      <c r="M43" s="166"/>
      <c r="N43" s="166"/>
      <c r="S43" s="168"/>
    </row>
  </sheetData>
  <sheetProtection selectLockedCells="1" selectUnlockedCells="1"/>
  <mergeCells count="26">
    <mergeCell ref="C14:C15"/>
    <mergeCell ref="B16:B23"/>
    <mergeCell ref="C16:C23"/>
    <mergeCell ref="D18:D21"/>
    <mergeCell ref="F37:F39"/>
    <mergeCell ref="H18:H21"/>
    <mergeCell ref="I18:I21"/>
    <mergeCell ref="F20:F27"/>
    <mergeCell ref="A2:A5"/>
    <mergeCell ref="B2:T3"/>
    <mergeCell ref="B4:T5"/>
    <mergeCell ref="A9:A30"/>
    <mergeCell ref="B9:B10"/>
    <mergeCell ref="C9:C10"/>
    <mergeCell ref="F9:F10"/>
    <mergeCell ref="B11:B12"/>
    <mergeCell ref="C11:C12"/>
    <mergeCell ref="F11:F12"/>
    <mergeCell ref="B13:B15"/>
    <mergeCell ref="F13:F15"/>
    <mergeCell ref="B24:B27"/>
    <mergeCell ref="A31:A34"/>
    <mergeCell ref="F31:F33"/>
    <mergeCell ref="F34:F36"/>
    <mergeCell ref="E18:E21"/>
    <mergeCell ref="F18:F19"/>
  </mergeCell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2"/>
  <sheetViews>
    <sheetView tabSelected="1" topLeftCell="A4" zoomScale="75" zoomScaleNormal="75" workbookViewId="0">
      <selection activeCell="J28" sqref="J28"/>
    </sheetView>
  </sheetViews>
  <sheetFormatPr baseColWidth="10" defaultRowHeight="14.65" customHeight="1"/>
  <cols>
    <col min="1" max="1" width="10.7109375" style="1" customWidth="1"/>
    <col min="2" max="2" width="16.140625" style="1" customWidth="1"/>
    <col min="3" max="4" width="13.85546875" style="1" customWidth="1"/>
    <col min="5" max="5" width="14.5703125" style="1" customWidth="1"/>
    <col min="6" max="6" width="14.28515625" style="1" customWidth="1"/>
    <col min="7" max="7" width="12.5703125" style="1" customWidth="1"/>
    <col min="8" max="8" width="13.28515625" style="1" customWidth="1"/>
    <col min="9" max="9" width="13.140625" style="1" customWidth="1"/>
    <col min="10" max="10" width="12.28515625" style="1" customWidth="1"/>
    <col min="11" max="11" width="11" style="1" customWidth="1"/>
    <col min="12" max="12" width="13.7109375" style="1" customWidth="1"/>
    <col min="13" max="13" width="13.5703125" style="1" customWidth="1"/>
    <col min="14" max="14" width="13.85546875" style="1" customWidth="1"/>
    <col min="15" max="16" width="10.7109375" style="1" customWidth="1"/>
    <col min="17" max="17" width="2.7109375" style="1" customWidth="1"/>
    <col min="18" max="16384" width="11.42578125" style="1"/>
  </cols>
  <sheetData>
    <row r="1" spans="1:16" s="3" customFormat="1" ht="13.9" customHeight="1">
      <c r="A1" s="52"/>
      <c r="B1" s="53"/>
      <c r="C1" s="169"/>
      <c r="D1" s="196" t="s">
        <v>0</v>
      </c>
      <c r="E1" s="196"/>
      <c r="F1" s="196"/>
      <c r="G1" s="196"/>
      <c r="H1" s="196"/>
      <c r="I1" s="196"/>
      <c r="J1" s="196"/>
      <c r="K1" s="196"/>
      <c r="L1" s="196"/>
      <c r="M1" s="190" t="s">
        <v>28</v>
      </c>
      <c r="N1" s="190"/>
      <c r="O1" s="190"/>
      <c r="P1" s="190"/>
    </row>
    <row r="2" spans="1:16" s="3" customFormat="1" ht="13.9" customHeight="1">
      <c r="A2" s="54"/>
      <c r="B2" s="55"/>
      <c r="C2" s="170"/>
      <c r="D2" s="196"/>
      <c r="E2" s="196"/>
      <c r="F2" s="196"/>
      <c r="G2" s="196"/>
      <c r="H2" s="196"/>
      <c r="I2" s="196"/>
      <c r="J2" s="196"/>
      <c r="K2" s="196"/>
      <c r="L2" s="196"/>
      <c r="M2" s="190"/>
      <c r="N2" s="190"/>
      <c r="O2" s="190"/>
      <c r="P2" s="190"/>
    </row>
    <row r="3" spans="1:16" s="3" customFormat="1" ht="13.9" customHeight="1">
      <c r="A3" s="54"/>
      <c r="B3" s="55"/>
      <c r="C3" s="170"/>
      <c r="D3" s="196"/>
      <c r="E3" s="196"/>
      <c r="F3" s="196"/>
      <c r="G3" s="196"/>
      <c r="H3" s="196"/>
      <c r="I3" s="196"/>
      <c r="J3" s="196"/>
      <c r="K3" s="196"/>
      <c r="L3" s="196"/>
      <c r="M3" s="190" t="s">
        <v>29</v>
      </c>
      <c r="N3" s="190"/>
      <c r="O3" s="190"/>
      <c r="P3" s="190"/>
    </row>
    <row r="4" spans="1:16" s="3" customFormat="1" ht="13.9" customHeight="1">
      <c r="A4" s="54"/>
      <c r="B4" s="55"/>
      <c r="C4" s="170"/>
      <c r="D4" s="196" t="s">
        <v>30</v>
      </c>
      <c r="E4" s="196"/>
      <c r="F4" s="196"/>
      <c r="G4" s="196"/>
      <c r="H4" s="196"/>
      <c r="I4" s="196"/>
      <c r="J4" s="196"/>
      <c r="K4" s="196"/>
      <c r="L4" s="196"/>
      <c r="M4" s="190"/>
      <c r="N4" s="190"/>
      <c r="O4" s="190"/>
      <c r="P4" s="190"/>
    </row>
    <row r="5" spans="1:16" s="3" customFormat="1" ht="13.9" customHeight="1">
      <c r="A5" s="54"/>
      <c r="B5" s="55"/>
      <c r="C5" s="170"/>
      <c r="D5" s="196"/>
      <c r="E5" s="196"/>
      <c r="F5" s="196"/>
      <c r="G5" s="196"/>
      <c r="H5" s="196"/>
      <c r="I5" s="196"/>
      <c r="J5" s="196"/>
      <c r="K5" s="196"/>
      <c r="L5" s="196"/>
      <c r="M5" s="190" t="s">
        <v>31</v>
      </c>
      <c r="N5" s="190"/>
      <c r="O5" s="190"/>
      <c r="P5" s="190"/>
    </row>
    <row r="6" spans="1:16" s="3" customFormat="1" ht="13.9" customHeight="1">
      <c r="A6" s="56"/>
      <c r="B6" s="57"/>
      <c r="C6" s="171"/>
      <c r="D6" s="196"/>
      <c r="E6" s="196"/>
      <c r="F6" s="196"/>
      <c r="G6" s="196"/>
      <c r="H6" s="196"/>
      <c r="I6" s="196"/>
      <c r="J6" s="196"/>
      <c r="K6" s="196"/>
      <c r="L6" s="196"/>
      <c r="M6" s="190"/>
      <c r="N6" s="190"/>
      <c r="O6" s="190"/>
      <c r="P6" s="190"/>
    </row>
    <row r="7" spans="1:16" s="3" customFormat="1" ht="12.75" customHeight="1">
      <c r="A7" s="180"/>
      <c r="B7" s="180"/>
      <c r="C7" s="180"/>
      <c r="D7" s="180"/>
      <c r="E7" s="180"/>
      <c r="F7" s="180"/>
      <c r="G7" s="180"/>
      <c r="H7" s="180"/>
      <c r="I7" s="180"/>
      <c r="J7" s="180"/>
      <c r="K7" s="180"/>
      <c r="L7" s="180"/>
      <c r="M7" s="180"/>
      <c r="N7" s="180"/>
      <c r="O7" s="180"/>
      <c r="P7" s="180"/>
    </row>
    <row r="8" spans="1:16" ht="30" customHeight="1">
      <c r="A8" s="174" t="s">
        <v>2</v>
      </c>
      <c r="B8" s="174"/>
      <c r="C8" s="174"/>
      <c r="D8" s="174"/>
      <c r="E8" s="174"/>
      <c r="F8" s="174"/>
      <c r="G8" s="174"/>
      <c r="H8" s="174"/>
      <c r="I8" s="174"/>
      <c r="J8" s="174"/>
      <c r="K8" s="174"/>
      <c r="L8" s="174"/>
      <c r="M8" s="174"/>
      <c r="N8" s="174"/>
      <c r="O8" s="174"/>
      <c r="P8" s="174"/>
    </row>
    <row r="9" spans="1:16" ht="39.75" customHeight="1">
      <c r="A9" s="183" t="s">
        <v>3</v>
      </c>
      <c r="B9" s="183"/>
      <c r="C9" s="183"/>
      <c r="D9" s="183"/>
      <c r="E9" s="205" t="s">
        <v>443</v>
      </c>
      <c r="F9" s="205"/>
      <c r="G9" s="205"/>
      <c r="H9" s="205"/>
      <c r="I9" s="205"/>
      <c r="J9" s="183" t="s">
        <v>5</v>
      </c>
      <c r="K9" s="183"/>
      <c r="L9" s="183"/>
      <c r="M9" s="186" t="s">
        <v>111</v>
      </c>
      <c r="N9" s="186"/>
      <c r="O9" s="186"/>
      <c r="P9" s="186"/>
    </row>
    <row r="10" spans="1:16" ht="42" customHeight="1">
      <c r="A10" s="183" t="s">
        <v>7</v>
      </c>
      <c r="B10" s="183"/>
      <c r="C10" s="183"/>
      <c r="D10" s="183"/>
      <c r="E10" s="178" t="s">
        <v>8</v>
      </c>
      <c r="F10" s="178"/>
      <c r="G10" s="178"/>
      <c r="H10" s="178"/>
      <c r="I10" s="178"/>
      <c r="J10" s="183" t="s">
        <v>9</v>
      </c>
      <c r="K10" s="183"/>
      <c r="L10" s="183"/>
      <c r="M10" s="186" t="s">
        <v>10</v>
      </c>
      <c r="N10" s="186"/>
      <c r="O10" s="186"/>
      <c r="P10" s="186"/>
    </row>
    <row r="11" spans="1:16" ht="52.9" customHeight="1">
      <c r="A11" s="183" t="s">
        <v>11</v>
      </c>
      <c r="B11" s="183"/>
      <c r="C11" s="183"/>
      <c r="D11" s="183"/>
      <c r="E11" s="178" t="s">
        <v>444</v>
      </c>
      <c r="F11" s="178"/>
      <c r="G11" s="178"/>
      <c r="H11" s="178"/>
      <c r="I11" s="178"/>
      <c r="J11" s="183" t="s">
        <v>32</v>
      </c>
      <c r="K11" s="183"/>
      <c r="L11" s="183"/>
      <c r="M11" s="186" t="s">
        <v>33</v>
      </c>
      <c r="N11" s="186"/>
      <c r="O11" s="186"/>
      <c r="P11" s="186"/>
    </row>
    <row r="12" spans="1:16" ht="96" customHeight="1">
      <c r="A12" s="183" t="s">
        <v>34</v>
      </c>
      <c r="B12" s="183"/>
      <c r="C12" s="183"/>
      <c r="D12" s="183"/>
      <c r="E12" s="178" t="s">
        <v>445</v>
      </c>
      <c r="F12" s="178"/>
      <c r="G12" s="178"/>
      <c r="H12" s="178"/>
      <c r="I12" s="178"/>
      <c r="J12" s="183" t="s">
        <v>36</v>
      </c>
      <c r="K12" s="183"/>
      <c r="L12" s="183"/>
      <c r="M12" s="186" t="s">
        <v>446</v>
      </c>
      <c r="N12" s="186"/>
      <c r="O12" s="186"/>
      <c r="P12" s="186"/>
    </row>
    <row r="13" spans="1:16" ht="52.9" customHeight="1">
      <c r="A13" s="183" t="s">
        <v>38</v>
      </c>
      <c r="B13" s="183"/>
      <c r="C13" s="183"/>
      <c r="D13" s="183"/>
      <c r="E13" s="205" t="s">
        <v>447</v>
      </c>
      <c r="F13" s="205"/>
      <c r="G13" s="205"/>
      <c r="H13" s="205"/>
      <c r="I13" s="205"/>
      <c r="J13" s="183" t="s">
        <v>40</v>
      </c>
      <c r="K13" s="183"/>
      <c r="L13" s="183"/>
      <c r="M13" s="186" t="s">
        <v>448</v>
      </c>
      <c r="N13" s="186"/>
      <c r="O13" s="186"/>
      <c r="P13" s="186"/>
    </row>
    <row r="14" spans="1:16" ht="114.75" customHeight="1">
      <c r="A14" s="183" t="s">
        <v>42</v>
      </c>
      <c r="B14" s="183"/>
      <c r="C14" s="183"/>
      <c r="D14" s="183"/>
      <c r="E14" s="178" t="s">
        <v>449</v>
      </c>
      <c r="F14" s="178"/>
      <c r="G14" s="178"/>
      <c r="H14" s="178"/>
      <c r="I14" s="178"/>
      <c r="J14" s="183" t="s">
        <v>44</v>
      </c>
      <c r="K14" s="183"/>
      <c r="L14" s="183"/>
      <c r="M14" s="186" t="s">
        <v>450</v>
      </c>
      <c r="N14" s="186"/>
      <c r="O14" s="186"/>
      <c r="P14" s="186"/>
    </row>
    <row r="15" spans="1:16" ht="53.25" customHeight="1">
      <c r="A15" s="183" t="s">
        <v>46</v>
      </c>
      <c r="B15" s="183"/>
      <c r="C15" s="183"/>
      <c r="D15" s="183"/>
      <c r="E15" s="186" t="s">
        <v>47</v>
      </c>
      <c r="F15" s="186"/>
      <c r="G15" s="186"/>
      <c r="H15" s="186"/>
      <c r="I15" s="183" t="s">
        <v>48</v>
      </c>
      <c r="J15" s="183"/>
      <c r="K15" s="183"/>
      <c r="L15" s="186" t="s">
        <v>49</v>
      </c>
      <c r="M15" s="186"/>
      <c r="N15" s="186"/>
      <c r="O15" s="186"/>
      <c r="P15" s="186"/>
    </row>
    <row r="16" spans="1:16" ht="41.25" customHeight="1">
      <c r="A16" s="183"/>
      <c r="B16" s="183"/>
      <c r="C16" s="183"/>
      <c r="D16" s="183"/>
      <c r="E16" s="186" t="s">
        <v>50</v>
      </c>
      <c r="F16" s="186"/>
      <c r="G16" s="186"/>
      <c r="H16" s="186"/>
      <c r="I16" s="183"/>
      <c r="J16" s="183"/>
      <c r="K16" s="183"/>
      <c r="L16" s="186" t="s">
        <v>51</v>
      </c>
      <c r="M16" s="186"/>
      <c r="N16" s="186"/>
      <c r="O16" s="186"/>
      <c r="P16" s="186"/>
    </row>
    <row r="17" spans="1:22" ht="6.75" customHeight="1"/>
    <row r="18" spans="1:22" ht="30" customHeight="1">
      <c r="A18" s="174" t="s">
        <v>52</v>
      </c>
      <c r="B18" s="174"/>
      <c r="C18" s="174"/>
      <c r="D18" s="174"/>
      <c r="E18" s="174"/>
      <c r="F18" s="174"/>
      <c r="G18" s="174"/>
      <c r="H18" s="174"/>
      <c r="I18" s="174"/>
      <c r="J18" s="174"/>
      <c r="K18" s="174"/>
      <c r="L18" s="174"/>
      <c r="M18" s="174"/>
      <c r="N18" s="174"/>
      <c r="O18" s="174"/>
      <c r="P18" s="174"/>
    </row>
    <row r="19" spans="1:22" ht="30" customHeight="1">
      <c r="A19" s="29" t="s">
        <v>53</v>
      </c>
      <c r="B19" s="217" t="s">
        <v>451</v>
      </c>
      <c r="C19" s="217"/>
      <c r="D19" s="217"/>
      <c r="E19" s="217"/>
      <c r="F19" s="183" t="s">
        <v>57</v>
      </c>
      <c r="G19" s="183"/>
      <c r="H19" s="183" t="s">
        <v>60</v>
      </c>
      <c r="I19" s="183"/>
      <c r="J19" s="183" t="s">
        <v>63</v>
      </c>
      <c r="K19" s="183"/>
      <c r="L19" s="183" t="s">
        <v>66</v>
      </c>
      <c r="M19" s="183"/>
      <c r="N19" s="183" t="s">
        <v>452</v>
      </c>
      <c r="O19" s="183"/>
      <c r="P19" s="183"/>
    </row>
    <row r="20" spans="1:22" ht="37.5" customHeight="1">
      <c r="A20" s="173">
        <v>2015</v>
      </c>
      <c r="B20" s="216" t="s">
        <v>453</v>
      </c>
      <c r="C20" s="216"/>
      <c r="D20" s="216"/>
      <c r="E20" s="216"/>
      <c r="F20" s="202">
        <v>1</v>
      </c>
      <c r="G20" s="202"/>
      <c r="H20" s="202">
        <v>2</v>
      </c>
      <c r="I20" s="202"/>
      <c r="J20" s="202">
        <v>3</v>
      </c>
      <c r="K20" s="202"/>
      <c r="L20" s="202">
        <v>4</v>
      </c>
      <c r="M20" s="202"/>
      <c r="N20" s="202">
        <f>MAX(F20,H20,J20,L20)</f>
        <v>4</v>
      </c>
      <c r="O20" s="202"/>
      <c r="P20" s="202"/>
      <c r="S20" s="15" t="s">
        <v>454</v>
      </c>
      <c r="T20" s="15" t="s">
        <v>455</v>
      </c>
      <c r="U20" s="15" t="s">
        <v>456</v>
      </c>
      <c r="V20" s="15" t="s">
        <v>457</v>
      </c>
    </row>
    <row r="21" spans="1:22" ht="40.5" customHeight="1">
      <c r="A21" s="173"/>
      <c r="B21" s="216" t="s">
        <v>458</v>
      </c>
      <c r="C21" s="216"/>
      <c r="D21" s="216"/>
      <c r="E21" s="216"/>
      <c r="F21" s="202">
        <v>2</v>
      </c>
      <c r="G21" s="202"/>
      <c r="H21" s="202">
        <v>2</v>
      </c>
      <c r="I21" s="202"/>
      <c r="J21" s="202">
        <v>4</v>
      </c>
      <c r="K21" s="202"/>
      <c r="L21" s="202">
        <v>6</v>
      </c>
      <c r="M21" s="202"/>
      <c r="N21" s="202">
        <f>MAX(F21,H21,J21,L21)</f>
        <v>6</v>
      </c>
      <c r="O21" s="202"/>
      <c r="P21" s="202"/>
      <c r="S21" s="172">
        <f>+F22</f>
        <v>0.5</v>
      </c>
      <c r="T21" s="172">
        <f>+H22</f>
        <v>1</v>
      </c>
      <c r="U21" s="172">
        <f>+J22</f>
        <v>0.75</v>
      </c>
      <c r="V21" s="172">
        <f>+L22</f>
        <v>0.66666666666666663</v>
      </c>
    </row>
    <row r="22" spans="1:22" ht="44.85" customHeight="1">
      <c r="A22" s="173"/>
      <c r="B22" s="216" t="s">
        <v>459</v>
      </c>
      <c r="C22" s="216"/>
      <c r="D22" s="216"/>
      <c r="E22" s="216"/>
      <c r="F22" s="194">
        <f>+F20/F21</f>
        <v>0.5</v>
      </c>
      <c r="G22" s="194"/>
      <c r="H22" s="194">
        <f>+H20/H21</f>
        <v>1</v>
      </c>
      <c r="I22" s="194"/>
      <c r="J22" s="194">
        <f>+J20/J21</f>
        <v>0.75</v>
      </c>
      <c r="K22" s="194"/>
      <c r="L22" s="194">
        <f>+L20/L21</f>
        <v>0.66666666666666663</v>
      </c>
      <c r="M22" s="194"/>
      <c r="N22" s="194">
        <f>+N20/N21</f>
        <v>0.66666666666666663</v>
      </c>
      <c r="O22" s="194"/>
      <c r="P22" s="194"/>
    </row>
    <row r="23" spans="1:22" s="15" customFormat="1" ht="12.75" customHeight="1">
      <c r="A23" s="13"/>
      <c r="B23" s="13"/>
      <c r="C23" s="13"/>
      <c r="D23" s="14">
        <v>0.8</v>
      </c>
      <c r="E23" s="14">
        <v>0.8</v>
      </c>
      <c r="F23" s="14">
        <v>0.8</v>
      </c>
      <c r="G23" s="14">
        <v>0.8</v>
      </c>
      <c r="H23" s="14">
        <v>0.8</v>
      </c>
      <c r="I23" s="14">
        <v>0.8</v>
      </c>
      <c r="J23" s="14">
        <v>0.8</v>
      </c>
      <c r="K23" s="14">
        <v>0.8</v>
      </c>
      <c r="L23" s="14">
        <v>0.8</v>
      </c>
      <c r="M23" s="14">
        <v>0.8</v>
      </c>
      <c r="N23" s="14">
        <v>0.8</v>
      </c>
      <c r="O23" s="14"/>
      <c r="P23" s="35"/>
    </row>
    <row r="24" spans="1:22" ht="30" customHeight="1">
      <c r="A24" s="174" t="s">
        <v>96</v>
      </c>
      <c r="B24" s="174"/>
      <c r="C24" s="174"/>
      <c r="D24" s="174"/>
      <c r="E24" s="174"/>
      <c r="F24" s="174"/>
      <c r="G24" s="174"/>
      <c r="H24" s="174"/>
      <c r="I24" s="174"/>
      <c r="J24" s="174"/>
      <c r="K24" s="183" t="s">
        <v>97</v>
      </c>
      <c r="L24" s="183"/>
      <c r="M24" s="183"/>
      <c r="N24" s="183"/>
      <c r="O24" s="183"/>
      <c r="P24" s="183"/>
    </row>
    <row r="25" spans="1:22" ht="36.6" customHeight="1">
      <c r="A25" s="21"/>
      <c r="B25" s="21"/>
      <c r="C25" s="21"/>
      <c r="D25" s="21"/>
      <c r="E25" s="21"/>
      <c r="F25" s="21"/>
      <c r="G25" s="22"/>
      <c r="H25" s="22"/>
      <c r="I25" s="22"/>
      <c r="J25" s="22"/>
      <c r="K25" s="184" t="s">
        <v>98</v>
      </c>
      <c r="L25" s="184"/>
      <c r="M25" s="184"/>
      <c r="N25" s="184"/>
      <c r="O25" s="184"/>
      <c r="P25" s="7"/>
    </row>
    <row r="26" spans="1:22" ht="36.6" customHeight="1">
      <c r="A26" s="21"/>
      <c r="B26" s="21"/>
      <c r="C26" s="21"/>
      <c r="D26" s="21"/>
      <c r="E26" s="21"/>
      <c r="F26" s="21"/>
      <c r="G26" s="21"/>
      <c r="H26" s="22"/>
      <c r="I26" s="22"/>
      <c r="J26" s="22"/>
      <c r="K26" s="184" t="s">
        <v>99</v>
      </c>
      <c r="L26" s="184"/>
      <c r="M26" s="184"/>
      <c r="N26" s="184"/>
      <c r="O26" s="184"/>
      <c r="P26" s="7"/>
    </row>
    <row r="27" spans="1:22" ht="36.6" customHeight="1">
      <c r="A27" s="21"/>
      <c r="B27" s="21"/>
      <c r="C27" s="21"/>
      <c r="D27" s="21"/>
      <c r="E27" s="21"/>
      <c r="F27" s="21"/>
      <c r="G27" s="21"/>
      <c r="H27" s="22"/>
      <c r="I27" s="22"/>
      <c r="J27" s="22"/>
      <c r="K27" s="184" t="s">
        <v>100</v>
      </c>
      <c r="L27" s="184"/>
      <c r="M27" s="184"/>
      <c r="N27" s="184"/>
      <c r="O27" s="184"/>
      <c r="P27" s="7"/>
    </row>
    <row r="28" spans="1:22" ht="36.6" customHeight="1">
      <c r="A28" s="21"/>
      <c r="B28" s="21"/>
      <c r="C28" s="21"/>
      <c r="D28" s="21"/>
      <c r="E28" s="21"/>
      <c r="F28" s="21"/>
      <c r="G28" s="21"/>
      <c r="H28" s="22"/>
      <c r="I28" s="22"/>
      <c r="J28" s="22"/>
      <c r="K28" s="184" t="s">
        <v>102</v>
      </c>
      <c r="L28" s="184"/>
      <c r="M28" s="184"/>
      <c r="N28" s="184"/>
      <c r="O28" s="184"/>
      <c r="P28" s="7" t="s">
        <v>101</v>
      </c>
    </row>
    <row r="29" spans="1:22" ht="36.6" customHeight="1">
      <c r="A29" s="21"/>
      <c r="B29" s="21"/>
      <c r="C29" s="21"/>
      <c r="D29" s="21"/>
      <c r="E29" s="21"/>
      <c r="F29" s="21"/>
      <c r="G29" s="21"/>
      <c r="H29" s="22"/>
      <c r="I29" s="22"/>
      <c r="J29" s="22"/>
      <c r="K29" s="184" t="s">
        <v>103</v>
      </c>
      <c r="L29" s="184"/>
      <c r="M29" s="184"/>
      <c r="N29" s="184"/>
      <c r="O29" s="184"/>
      <c r="P29" s="7"/>
    </row>
    <row r="30" spans="1:22" ht="36.6" customHeight="1">
      <c r="A30" s="21"/>
      <c r="B30" s="21"/>
      <c r="C30" s="21"/>
      <c r="D30" s="21"/>
      <c r="E30" s="21"/>
      <c r="F30" s="21"/>
      <c r="G30" s="21"/>
      <c r="H30" s="22"/>
      <c r="I30" s="22"/>
      <c r="J30" s="22"/>
      <c r="K30" s="183" t="s">
        <v>105</v>
      </c>
      <c r="L30" s="183"/>
      <c r="M30" s="183"/>
      <c r="N30" s="183"/>
      <c r="O30" s="183"/>
      <c r="P30" s="183"/>
    </row>
    <row r="31" spans="1:22" ht="36.6" customHeight="1">
      <c r="A31" s="21"/>
      <c r="B31" s="21"/>
      <c r="C31" s="21"/>
      <c r="D31" s="21"/>
      <c r="E31" s="21"/>
      <c r="F31" s="21"/>
      <c r="G31" s="21"/>
      <c r="H31" s="22"/>
      <c r="I31" s="22"/>
      <c r="J31" s="22"/>
      <c r="K31" s="173" t="s">
        <v>49</v>
      </c>
      <c r="L31" s="173"/>
      <c r="M31" s="173"/>
      <c r="N31" s="173"/>
      <c r="O31" s="173"/>
      <c r="P31" s="173"/>
    </row>
    <row r="32" spans="1:22" ht="36.6" customHeight="1">
      <c r="A32" s="21"/>
      <c r="B32" s="21"/>
      <c r="C32" s="21"/>
      <c r="D32" s="21"/>
      <c r="E32" s="21"/>
      <c r="F32" s="21"/>
      <c r="G32" s="21"/>
      <c r="H32" s="22"/>
      <c r="I32" s="22"/>
      <c r="J32" s="22"/>
      <c r="K32" s="173" t="s">
        <v>51</v>
      </c>
      <c r="L32" s="173"/>
      <c r="M32" s="173"/>
      <c r="N32" s="173"/>
      <c r="O32" s="173"/>
      <c r="P32" s="173"/>
    </row>
    <row r="33" spans="1:16" ht="36.6" customHeight="1">
      <c r="A33" s="173" t="s">
        <v>460</v>
      </c>
      <c r="B33" s="173"/>
      <c r="C33" s="173"/>
      <c r="D33" s="173"/>
      <c r="E33" s="173"/>
      <c r="F33" s="173"/>
      <c r="G33" s="173"/>
      <c r="H33" s="173"/>
      <c r="I33" s="173"/>
      <c r="J33" s="173"/>
      <c r="K33" s="177" t="s">
        <v>106</v>
      </c>
      <c r="L33" s="177"/>
      <c r="M33" s="37">
        <v>31</v>
      </c>
      <c r="N33" s="37">
        <v>12</v>
      </c>
      <c r="O33" s="181">
        <v>2015</v>
      </c>
      <c r="P33" s="181"/>
    </row>
    <row r="34" spans="1:16" ht="36.6" customHeight="1">
      <c r="A34" s="173"/>
      <c r="B34" s="173"/>
      <c r="C34" s="173"/>
      <c r="D34" s="173"/>
      <c r="E34" s="173"/>
      <c r="F34" s="173"/>
      <c r="G34" s="173"/>
      <c r="H34" s="173"/>
      <c r="I34" s="173"/>
      <c r="J34" s="173"/>
      <c r="K34" s="177" t="s">
        <v>107</v>
      </c>
      <c r="L34" s="177"/>
      <c r="M34" s="37">
        <v>1</v>
      </c>
      <c r="N34" s="37">
        <v>3</v>
      </c>
      <c r="O34" s="181">
        <v>2016</v>
      </c>
      <c r="P34" s="181"/>
    </row>
    <row r="35" spans="1:16" ht="15" customHeight="1">
      <c r="A35" s="173"/>
      <c r="B35" s="173"/>
      <c r="C35" s="173"/>
      <c r="D35" s="173"/>
      <c r="E35" s="173"/>
      <c r="F35" s="173"/>
      <c r="G35" s="173"/>
      <c r="H35" s="173"/>
      <c r="I35" s="173"/>
      <c r="J35" s="173"/>
      <c r="K35" s="177" t="s">
        <v>108</v>
      </c>
      <c r="L35" s="177"/>
      <c r="M35" s="179" t="s">
        <v>461</v>
      </c>
      <c r="N35" s="179"/>
      <c r="O35" s="179"/>
      <c r="P35" s="179"/>
    </row>
    <row r="42" spans="1:16" ht="12.75" customHeight="1"/>
  </sheetData>
  <sheetProtection password="C6BA" sheet="1" formatCells="0" formatColumns="0" formatRows="0" insertColumns="0" insertRows="0" insertHyperlinks="0" deleteColumns="0" deleteRows="0" sort="0" autoFilter="0" pivotTables="0"/>
  <mergeCells count="80">
    <mergeCell ref="D1:L3"/>
    <mergeCell ref="M1:P2"/>
    <mergeCell ref="M3:P4"/>
    <mergeCell ref="D4:L6"/>
    <mergeCell ref="M5:P6"/>
    <mergeCell ref="A7:P7"/>
    <mergeCell ref="A8:P8"/>
    <mergeCell ref="A9:D9"/>
    <mergeCell ref="E9:I9"/>
    <mergeCell ref="J9:L9"/>
    <mergeCell ref="M9:P9"/>
    <mergeCell ref="A10:D10"/>
    <mergeCell ref="E10:I10"/>
    <mergeCell ref="J10:L10"/>
    <mergeCell ref="M10:P10"/>
    <mergeCell ref="A11:D11"/>
    <mergeCell ref="E11:I11"/>
    <mergeCell ref="J11:L11"/>
    <mergeCell ref="M11:P11"/>
    <mergeCell ref="A12:D12"/>
    <mergeCell ref="E12:I12"/>
    <mergeCell ref="J12:L12"/>
    <mergeCell ref="M12:P12"/>
    <mergeCell ref="A13:D13"/>
    <mergeCell ref="E13:I13"/>
    <mergeCell ref="J13:L13"/>
    <mergeCell ref="M13:P13"/>
    <mergeCell ref="A14:D14"/>
    <mergeCell ref="E14:I14"/>
    <mergeCell ref="J14:L14"/>
    <mergeCell ref="M14:P14"/>
    <mergeCell ref="A15:D16"/>
    <mergeCell ref="E15:H15"/>
    <mergeCell ref="I15:K16"/>
    <mergeCell ref="L15:P15"/>
    <mergeCell ref="E16:H16"/>
    <mergeCell ref="L16:P16"/>
    <mergeCell ref="J22:K22"/>
    <mergeCell ref="A18:P18"/>
    <mergeCell ref="B19:E19"/>
    <mergeCell ref="F19:G19"/>
    <mergeCell ref="H19:I19"/>
    <mergeCell ref="J19:K19"/>
    <mergeCell ref="L19:M19"/>
    <mergeCell ref="N19:P19"/>
    <mergeCell ref="N20:P20"/>
    <mergeCell ref="B21:E21"/>
    <mergeCell ref="F21:G21"/>
    <mergeCell ref="H21:I21"/>
    <mergeCell ref="J21:K21"/>
    <mergeCell ref="L21:M21"/>
    <mergeCell ref="A24:J24"/>
    <mergeCell ref="K24:P24"/>
    <mergeCell ref="K25:O25"/>
    <mergeCell ref="K26:O26"/>
    <mergeCell ref="A20:A22"/>
    <mergeCell ref="J20:K20"/>
    <mergeCell ref="L20:M20"/>
    <mergeCell ref="B22:E22"/>
    <mergeCell ref="N21:P21"/>
    <mergeCell ref="B20:E20"/>
    <mergeCell ref="F20:G20"/>
    <mergeCell ref="H20:I20"/>
    <mergeCell ref="L22:M22"/>
    <mergeCell ref="N22:P22"/>
    <mergeCell ref="F22:G22"/>
    <mergeCell ref="H22:I22"/>
    <mergeCell ref="K27:O27"/>
    <mergeCell ref="K28:O28"/>
    <mergeCell ref="K29:O29"/>
    <mergeCell ref="K30:P30"/>
    <mergeCell ref="K31:P31"/>
    <mergeCell ref="K32:P32"/>
    <mergeCell ref="A33:J35"/>
    <mergeCell ref="K33:L33"/>
    <mergeCell ref="O33:P33"/>
    <mergeCell ref="K34:L34"/>
    <mergeCell ref="O34:P34"/>
    <mergeCell ref="K35:L35"/>
    <mergeCell ref="M35:P35"/>
  </mergeCells>
  <dataValidations count="4">
    <dataValidation operator="equal" allowBlank="1" showErrorMessage="1" errorTitle="Seleccionar un valor de la lista" sqref="F20:F21 J20:J21 L20:L21">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9"/>
  <sheetViews>
    <sheetView topLeftCell="A43" zoomScale="75" zoomScaleNormal="75" workbookViewId="0">
      <selection activeCell="K49" sqref="K49:L49"/>
    </sheetView>
  </sheetViews>
  <sheetFormatPr baseColWidth="10" defaultRowHeight="14.65" customHeight="1"/>
  <cols>
    <col min="1" max="1" width="10.7109375" style="1" customWidth="1"/>
    <col min="2" max="2" width="18.7109375" style="1" customWidth="1"/>
    <col min="3" max="14" width="10.7109375" style="1" customWidth="1"/>
    <col min="15" max="15" width="14.42578125" style="1" customWidth="1"/>
    <col min="16" max="16" width="11.5703125" style="1" customWidth="1"/>
    <col min="17" max="17" width="2.7109375" style="1" customWidth="1"/>
    <col min="18" max="16384" width="11.42578125" style="1"/>
  </cols>
  <sheetData>
    <row r="1" spans="1:16" s="3" customFormat="1" ht="13.9" customHeight="1">
      <c r="A1" s="188"/>
      <c r="B1" s="188"/>
      <c r="C1" s="188"/>
      <c r="D1" s="189" t="s">
        <v>0</v>
      </c>
      <c r="E1" s="189"/>
      <c r="F1" s="189"/>
      <c r="G1" s="189"/>
      <c r="H1" s="189"/>
      <c r="I1" s="189"/>
      <c r="J1" s="189"/>
      <c r="K1" s="189"/>
      <c r="L1" s="189"/>
      <c r="M1" s="190" t="s">
        <v>28</v>
      </c>
      <c r="N1" s="190"/>
      <c r="O1" s="190"/>
      <c r="P1" s="190"/>
    </row>
    <row r="2" spans="1:16" s="3" customFormat="1" ht="13.9" customHeight="1">
      <c r="A2" s="188"/>
      <c r="B2" s="188"/>
      <c r="C2" s="188"/>
      <c r="D2" s="189"/>
      <c r="E2" s="189"/>
      <c r="F2" s="189"/>
      <c r="G2" s="189"/>
      <c r="H2" s="189"/>
      <c r="I2" s="189"/>
      <c r="J2" s="189"/>
      <c r="K2" s="189"/>
      <c r="L2" s="189"/>
      <c r="M2" s="190"/>
      <c r="N2" s="190"/>
      <c r="O2" s="190"/>
      <c r="P2" s="190"/>
    </row>
    <row r="3" spans="1:16" s="3" customFormat="1" ht="13.9" customHeight="1">
      <c r="A3" s="188"/>
      <c r="B3" s="188"/>
      <c r="C3" s="188"/>
      <c r="D3" s="189"/>
      <c r="E3" s="189"/>
      <c r="F3" s="189"/>
      <c r="G3" s="189"/>
      <c r="H3" s="189"/>
      <c r="I3" s="189"/>
      <c r="J3" s="189"/>
      <c r="K3" s="189"/>
      <c r="L3" s="189"/>
      <c r="M3" s="190" t="s">
        <v>29</v>
      </c>
      <c r="N3" s="190"/>
      <c r="O3" s="190"/>
      <c r="P3" s="190"/>
    </row>
    <row r="4" spans="1:16" s="3" customFormat="1" ht="13.9" customHeight="1">
      <c r="A4" s="188"/>
      <c r="B4" s="188"/>
      <c r="C4" s="188"/>
      <c r="D4" s="189" t="s">
        <v>30</v>
      </c>
      <c r="E4" s="189"/>
      <c r="F4" s="189"/>
      <c r="G4" s="189"/>
      <c r="H4" s="189"/>
      <c r="I4" s="189"/>
      <c r="J4" s="189"/>
      <c r="K4" s="189"/>
      <c r="L4" s="189"/>
      <c r="M4" s="190"/>
      <c r="N4" s="190"/>
      <c r="O4" s="190"/>
      <c r="P4" s="190"/>
    </row>
    <row r="5" spans="1:16" s="3" customFormat="1" ht="13.9" customHeight="1">
      <c r="A5" s="188"/>
      <c r="B5" s="188"/>
      <c r="C5" s="188"/>
      <c r="D5" s="189"/>
      <c r="E5" s="189"/>
      <c r="F5" s="189"/>
      <c r="G5" s="189"/>
      <c r="H5" s="189"/>
      <c r="I5" s="189"/>
      <c r="J5" s="189"/>
      <c r="K5" s="189"/>
      <c r="L5" s="189"/>
      <c r="M5" s="190" t="s">
        <v>31</v>
      </c>
      <c r="N5" s="190"/>
      <c r="O5" s="190"/>
      <c r="P5" s="190"/>
    </row>
    <row r="6" spans="1:16" s="3" customFormat="1" ht="13.9" customHeight="1">
      <c r="A6" s="188"/>
      <c r="B6" s="188"/>
      <c r="C6" s="188"/>
      <c r="D6" s="189"/>
      <c r="E6" s="189"/>
      <c r="F6" s="189"/>
      <c r="G6" s="189"/>
      <c r="H6" s="189"/>
      <c r="I6" s="189"/>
      <c r="J6" s="189"/>
      <c r="K6" s="189"/>
      <c r="L6" s="189"/>
      <c r="M6" s="190"/>
      <c r="N6" s="190"/>
      <c r="O6" s="190"/>
      <c r="P6" s="190"/>
    </row>
    <row r="7" spans="1:16" s="3" customFormat="1" ht="12.75" customHeight="1">
      <c r="A7" s="180"/>
      <c r="B7" s="180"/>
      <c r="C7" s="180"/>
      <c r="D7" s="180"/>
      <c r="E7" s="180"/>
      <c r="F7" s="180"/>
      <c r="G7" s="180"/>
      <c r="H7" s="180"/>
      <c r="I7" s="180"/>
      <c r="J7" s="180"/>
      <c r="K7" s="180"/>
      <c r="L7" s="180"/>
      <c r="M7" s="180"/>
      <c r="N7" s="180"/>
      <c r="O7" s="180"/>
      <c r="P7" s="180"/>
    </row>
    <row r="8" spans="1:16" ht="30" customHeight="1">
      <c r="A8" s="174" t="s">
        <v>2</v>
      </c>
      <c r="B8" s="174"/>
      <c r="C8" s="174"/>
      <c r="D8" s="174"/>
      <c r="E8" s="174"/>
      <c r="F8" s="174"/>
      <c r="G8" s="174"/>
      <c r="H8" s="174"/>
      <c r="I8" s="174"/>
      <c r="J8" s="174"/>
      <c r="K8" s="174"/>
      <c r="L8" s="174"/>
      <c r="M8" s="174"/>
      <c r="N8" s="174"/>
      <c r="O8" s="174"/>
      <c r="P8" s="174"/>
    </row>
    <row r="9" spans="1:16" ht="42" customHeight="1">
      <c r="A9" s="183" t="s">
        <v>3</v>
      </c>
      <c r="B9" s="183"/>
      <c r="C9" s="183"/>
      <c r="D9" s="178" t="s">
        <v>4</v>
      </c>
      <c r="E9" s="178"/>
      <c r="F9" s="178"/>
      <c r="G9" s="178"/>
      <c r="H9" s="178"/>
      <c r="I9" s="178"/>
      <c r="J9" s="183" t="s">
        <v>5</v>
      </c>
      <c r="K9" s="183"/>
      <c r="L9" s="183"/>
      <c r="M9" s="186" t="s">
        <v>6</v>
      </c>
      <c r="N9" s="186"/>
      <c r="O9" s="186"/>
      <c r="P9" s="186"/>
    </row>
    <row r="10" spans="1:16" ht="42" customHeight="1">
      <c r="A10" s="183" t="s">
        <v>7</v>
      </c>
      <c r="B10" s="183"/>
      <c r="C10" s="183"/>
      <c r="D10" s="178" t="s">
        <v>8</v>
      </c>
      <c r="E10" s="178"/>
      <c r="F10" s="178"/>
      <c r="G10" s="178"/>
      <c r="H10" s="178"/>
      <c r="I10" s="178"/>
      <c r="J10" s="183" t="s">
        <v>9</v>
      </c>
      <c r="K10" s="183"/>
      <c r="L10" s="183"/>
      <c r="M10" s="186" t="s">
        <v>10</v>
      </c>
      <c r="N10" s="186"/>
      <c r="O10" s="186"/>
      <c r="P10" s="186"/>
    </row>
    <row r="11" spans="1:16" ht="70.5" customHeight="1">
      <c r="A11" s="183" t="s">
        <v>11</v>
      </c>
      <c r="B11" s="183"/>
      <c r="C11" s="183"/>
      <c r="D11" s="178" t="s">
        <v>12</v>
      </c>
      <c r="E11" s="178"/>
      <c r="F11" s="178"/>
      <c r="G11" s="178"/>
      <c r="H11" s="178"/>
      <c r="I11" s="178"/>
      <c r="J11" s="183" t="s">
        <v>32</v>
      </c>
      <c r="K11" s="183"/>
      <c r="L11" s="183"/>
      <c r="M11" s="186" t="s">
        <v>33</v>
      </c>
      <c r="N11" s="186"/>
      <c r="O11" s="186"/>
      <c r="P11" s="186"/>
    </row>
    <row r="12" spans="1:16" ht="66" customHeight="1">
      <c r="A12" s="183" t="s">
        <v>34</v>
      </c>
      <c r="B12" s="183"/>
      <c r="C12" s="183"/>
      <c r="D12" s="178" t="s">
        <v>35</v>
      </c>
      <c r="E12" s="178"/>
      <c r="F12" s="178"/>
      <c r="G12" s="178"/>
      <c r="H12" s="178"/>
      <c r="I12" s="178"/>
      <c r="J12" s="183" t="s">
        <v>36</v>
      </c>
      <c r="K12" s="183"/>
      <c r="L12" s="183"/>
      <c r="M12" s="186" t="s">
        <v>37</v>
      </c>
      <c r="N12" s="186"/>
      <c r="O12" s="186"/>
      <c r="P12" s="186"/>
    </row>
    <row r="13" spans="1:16" ht="94.5" customHeight="1">
      <c r="A13" s="183" t="s">
        <v>38</v>
      </c>
      <c r="B13" s="183"/>
      <c r="C13" s="183"/>
      <c r="D13" s="187" t="s">
        <v>39</v>
      </c>
      <c r="E13" s="187"/>
      <c r="F13" s="187"/>
      <c r="G13" s="187"/>
      <c r="H13" s="187"/>
      <c r="I13" s="187"/>
      <c r="J13" s="183" t="s">
        <v>40</v>
      </c>
      <c r="K13" s="183"/>
      <c r="L13" s="183"/>
      <c r="M13" s="186" t="s">
        <v>41</v>
      </c>
      <c r="N13" s="186"/>
      <c r="O13" s="186"/>
      <c r="P13" s="186"/>
    </row>
    <row r="14" spans="1:16" ht="137.25" customHeight="1">
      <c r="A14" s="183" t="s">
        <v>42</v>
      </c>
      <c r="B14" s="183"/>
      <c r="C14" s="183"/>
      <c r="D14" s="178" t="s">
        <v>43</v>
      </c>
      <c r="E14" s="178"/>
      <c r="F14" s="178"/>
      <c r="G14" s="178"/>
      <c r="H14" s="178"/>
      <c r="I14" s="178"/>
      <c r="J14" s="183" t="s">
        <v>44</v>
      </c>
      <c r="K14" s="183"/>
      <c r="L14" s="183"/>
      <c r="M14" s="186" t="s">
        <v>45</v>
      </c>
      <c r="N14" s="186"/>
      <c r="O14" s="186"/>
      <c r="P14" s="186"/>
    </row>
    <row r="15" spans="1:16" ht="49.7" customHeight="1">
      <c r="A15" s="183" t="s">
        <v>46</v>
      </c>
      <c r="B15" s="183"/>
      <c r="C15" s="183"/>
      <c r="D15" s="173" t="s">
        <v>47</v>
      </c>
      <c r="E15" s="173"/>
      <c r="F15" s="173"/>
      <c r="G15" s="173"/>
      <c r="H15" s="173"/>
      <c r="I15" s="183" t="s">
        <v>48</v>
      </c>
      <c r="J15" s="183"/>
      <c r="K15" s="183"/>
      <c r="L15" s="173" t="s">
        <v>49</v>
      </c>
      <c r="M15" s="173"/>
      <c r="N15" s="173"/>
      <c r="O15" s="173"/>
      <c r="P15" s="173"/>
    </row>
    <row r="16" spans="1:16" ht="41.25" customHeight="1">
      <c r="A16" s="183"/>
      <c r="B16" s="183"/>
      <c r="C16" s="183"/>
      <c r="D16" s="173" t="s">
        <v>50</v>
      </c>
      <c r="E16" s="173"/>
      <c r="F16" s="173"/>
      <c r="G16" s="173"/>
      <c r="H16" s="173"/>
      <c r="I16" s="183"/>
      <c r="J16" s="183"/>
      <c r="K16" s="183"/>
      <c r="L16" s="173" t="s">
        <v>51</v>
      </c>
      <c r="M16" s="173"/>
      <c r="N16" s="173"/>
      <c r="O16" s="173"/>
      <c r="P16" s="173"/>
    </row>
    <row r="17" spans="1:19" ht="6.75" customHeight="1"/>
    <row r="18" spans="1:19" ht="30" customHeight="1">
      <c r="A18" s="174" t="s">
        <v>52</v>
      </c>
      <c r="B18" s="174"/>
      <c r="C18" s="174"/>
      <c r="D18" s="174"/>
      <c r="E18" s="174"/>
      <c r="F18" s="174"/>
      <c r="G18" s="174"/>
      <c r="H18" s="174"/>
      <c r="I18" s="174"/>
      <c r="J18" s="174"/>
      <c r="K18" s="174"/>
      <c r="L18" s="174"/>
      <c r="M18" s="174"/>
      <c r="N18" s="174"/>
      <c r="O18" s="174"/>
      <c r="P18" s="174"/>
    </row>
    <row r="19" spans="1:19" ht="30" customHeight="1">
      <c r="A19" s="29" t="s">
        <v>53</v>
      </c>
      <c r="B19" s="30" t="s">
        <v>54</v>
      </c>
      <c r="C19" s="30" t="s">
        <v>55</v>
      </c>
      <c r="D19" s="29" t="s">
        <v>56</v>
      </c>
      <c r="E19" s="29" t="s">
        <v>57</v>
      </c>
      <c r="F19" s="29" t="s">
        <v>58</v>
      </c>
      <c r="G19" s="29" t="s">
        <v>59</v>
      </c>
      <c r="H19" s="29" t="s">
        <v>60</v>
      </c>
      <c r="I19" s="29" t="s">
        <v>61</v>
      </c>
      <c r="J19" s="29" t="s">
        <v>62</v>
      </c>
      <c r="K19" s="29" t="s">
        <v>63</v>
      </c>
      <c r="L19" s="29" t="s">
        <v>64</v>
      </c>
      <c r="M19" s="29" t="s">
        <v>65</v>
      </c>
      <c r="N19" s="29" t="s">
        <v>66</v>
      </c>
      <c r="O19" s="29" t="s">
        <v>67</v>
      </c>
      <c r="P19" s="29" t="s">
        <v>68</v>
      </c>
    </row>
    <row r="20" spans="1:19" ht="30" customHeight="1">
      <c r="A20" s="182">
        <v>2015</v>
      </c>
      <c r="B20" s="8" t="s">
        <v>69</v>
      </c>
      <c r="C20" s="9"/>
      <c r="D20" s="9"/>
      <c r="E20" s="9"/>
      <c r="F20" s="9"/>
      <c r="G20" s="9"/>
      <c r="H20" s="9">
        <v>1</v>
      </c>
      <c r="I20" s="9"/>
      <c r="J20" s="9"/>
      <c r="K20" s="9"/>
      <c r="L20" s="9"/>
      <c r="M20" s="9"/>
      <c r="N20" s="9"/>
      <c r="O20" s="31">
        <f t="shared" ref="O20:O30" si="0">+(C20+D20+E20+F20+G20+H20+I20+J20+K20+L20+M20+N20)/12</f>
        <v>8.3333333333333329E-2</v>
      </c>
      <c r="P20" s="32">
        <f t="shared" ref="P20:P30" si="1">+C20+D20+E20+F20+G20+H20+I20++J20+K20+L20+M20+N20</f>
        <v>1</v>
      </c>
      <c r="R20" s="33" t="s">
        <v>69</v>
      </c>
      <c r="S20" s="15">
        <v>1</v>
      </c>
    </row>
    <row r="21" spans="1:19" ht="30" customHeight="1">
      <c r="A21" s="182"/>
      <c r="B21" s="8" t="s">
        <v>70</v>
      </c>
      <c r="C21" s="9"/>
      <c r="D21" s="9">
        <v>1</v>
      </c>
      <c r="E21" s="9">
        <f>1+1</f>
        <v>2</v>
      </c>
      <c r="F21" s="9"/>
      <c r="G21" s="9">
        <f>1+1+1+1</f>
        <v>4</v>
      </c>
      <c r="H21" s="9">
        <f>1+1+1+1</f>
        <v>4</v>
      </c>
      <c r="I21" s="9">
        <f>1+1</f>
        <v>2</v>
      </c>
      <c r="J21" s="9">
        <v>1</v>
      </c>
      <c r="K21" s="9">
        <f>1+1</f>
        <v>2</v>
      </c>
      <c r="L21" s="9">
        <f>1+1+1+1+1+1</f>
        <v>6</v>
      </c>
      <c r="M21" s="9">
        <f>1+1+1+1+1+1</f>
        <v>6</v>
      </c>
      <c r="N21" s="9">
        <f>1+1</f>
        <v>2</v>
      </c>
      <c r="O21" s="31">
        <f t="shared" si="0"/>
        <v>2.5</v>
      </c>
      <c r="P21" s="32">
        <f t="shared" si="1"/>
        <v>30</v>
      </c>
      <c r="R21" s="33" t="s">
        <v>70</v>
      </c>
      <c r="S21" s="15">
        <v>30</v>
      </c>
    </row>
    <row r="22" spans="1:19" ht="30" customHeight="1">
      <c r="A22" s="182"/>
      <c r="B22" s="8" t="s">
        <v>71</v>
      </c>
      <c r="C22" s="9"/>
      <c r="D22" s="9"/>
      <c r="E22" s="9"/>
      <c r="F22" s="9"/>
      <c r="G22" s="9"/>
      <c r="H22" s="9"/>
      <c r="I22" s="9"/>
      <c r="J22" s="9"/>
      <c r="K22" s="9"/>
      <c r="L22" s="9"/>
      <c r="M22" s="9"/>
      <c r="N22" s="9"/>
      <c r="O22" s="31">
        <f t="shared" si="0"/>
        <v>0</v>
      </c>
      <c r="P22" s="32">
        <f t="shared" si="1"/>
        <v>0</v>
      </c>
      <c r="R22" s="33" t="s">
        <v>71</v>
      </c>
      <c r="S22" s="15">
        <v>0</v>
      </c>
    </row>
    <row r="23" spans="1:19" ht="30" customHeight="1">
      <c r="A23" s="182"/>
      <c r="B23" s="8" t="s">
        <v>72</v>
      </c>
      <c r="C23" s="9"/>
      <c r="D23" s="9"/>
      <c r="E23" s="9"/>
      <c r="F23" s="9"/>
      <c r="G23" s="9"/>
      <c r="H23" s="9">
        <v>1</v>
      </c>
      <c r="I23" s="9"/>
      <c r="J23" s="9"/>
      <c r="K23" s="9"/>
      <c r="L23" s="9"/>
      <c r="M23" s="9"/>
      <c r="N23" s="9"/>
      <c r="O23" s="31">
        <f t="shared" si="0"/>
        <v>8.3333333333333329E-2</v>
      </c>
      <c r="P23" s="32">
        <f t="shared" si="1"/>
        <v>1</v>
      </c>
      <c r="R23" s="33" t="s">
        <v>72</v>
      </c>
      <c r="S23" s="15">
        <v>1</v>
      </c>
    </row>
    <row r="24" spans="1:19" ht="30" customHeight="1">
      <c r="A24" s="182"/>
      <c r="B24" s="8" t="s">
        <v>73</v>
      </c>
      <c r="C24" s="9"/>
      <c r="D24" s="9">
        <v>1</v>
      </c>
      <c r="E24" s="9">
        <f>1+1+1</f>
        <v>3</v>
      </c>
      <c r="F24" s="9"/>
      <c r="G24" s="9">
        <f>1+1</f>
        <v>2</v>
      </c>
      <c r="H24" s="9"/>
      <c r="I24" s="9"/>
      <c r="J24" s="9">
        <v>1</v>
      </c>
      <c r="K24" s="9">
        <f>1+1+1</f>
        <v>3</v>
      </c>
      <c r="L24" s="9">
        <f>1+1+1+1+1+1+1</f>
        <v>7</v>
      </c>
      <c r="M24" s="9"/>
      <c r="N24" s="9"/>
      <c r="O24" s="31">
        <f t="shared" si="0"/>
        <v>1.4166666666666667</v>
      </c>
      <c r="P24" s="32">
        <f t="shared" si="1"/>
        <v>17</v>
      </c>
      <c r="R24" s="33" t="s">
        <v>73</v>
      </c>
      <c r="S24" s="15">
        <v>17</v>
      </c>
    </row>
    <row r="25" spans="1:19" ht="30" customHeight="1">
      <c r="A25" s="182"/>
      <c r="B25" s="8" t="s">
        <v>74</v>
      </c>
      <c r="C25" s="9"/>
      <c r="D25" s="9"/>
      <c r="E25" s="9"/>
      <c r="F25" s="9">
        <v>1</v>
      </c>
      <c r="G25" s="9">
        <v>1</v>
      </c>
      <c r="H25" s="9"/>
      <c r="I25" s="9"/>
      <c r="J25" s="9"/>
      <c r="K25" s="9"/>
      <c r="L25" s="9"/>
      <c r="M25" s="9">
        <f>1+1</f>
        <v>2</v>
      </c>
      <c r="N25" s="9"/>
      <c r="O25" s="31">
        <f t="shared" si="0"/>
        <v>0.33333333333333331</v>
      </c>
      <c r="P25" s="32">
        <f t="shared" si="1"/>
        <v>4</v>
      </c>
      <c r="R25" s="33" t="s">
        <v>74</v>
      </c>
      <c r="S25" s="15">
        <v>4</v>
      </c>
    </row>
    <row r="26" spans="1:19" ht="30" customHeight="1">
      <c r="A26" s="182"/>
      <c r="B26" s="8" t="s">
        <v>75</v>
      </c>
      <c r="C26" s="9"/>
      <c r="D26" s="9">
        <f>1+1+1+1+1+1+1</f>
        <v>7</v>
      </c>
      <c r="E26" s="9">
        <f>1+1+1+1+1</f>
        <v>5</v>
      </c>
      <c r="F26" s="9">
        <f>1+1+1+1+1+1+1+1</f>
        <v>8</v>
      </c>
      <c r="G26" s="9">
        <f>1+1+1+1+1+1+1+1+1+1+1+1</f>
        <v>12</v>
      </c>
      <c r="H26" s="9">
        <f>1+1+1+1+1+1+1+1+1</f>
        <v>9</v>
      </c>
      <c r="I26" s="9">
        <f>1+1+1</f>
        <v>3</v>
      </c>
      <c r="J26" s="9">
        <f>1+1+1+1+1+1+1+1</f>
        <v>8</v>
      </c>
      <c r="K26" s="9">
        <f>1+1+1+1+1+1+1+1+1+1+1+1+1+1</f>
        <v>14</v>
      </c>
      <c r="L26" s="9">
        <f>1+1+1+1+1+1+1</f>
        <v>7</v>
      </c>
      <c r="M26" s="9">
        <f>1+1+1+1+1+1+1+1</f>
        <v>8</v>
      </c>
      <c r="N26" s="9">
        <f>1+1+1+1+1</f>
        <v>5</v>
      </c>
      <c r="O26" s="31">
        <f t="shared" si="0"/>
        <v>7.166666666666667</v>
      </c>
      <c r="P26" s="32">
        <f t="shared" si="1"/>
        <v>86</v>
      </c>
      <c r="R26" s="33" t="s">
        <v>75</v>
      </c>
      <c r="S26" s="15">
        <v>86</v>
      </c>
    </row>
    <row r="27" spans="1:19" ht="30" customHeight="1">
      <c r="A27" s="182"/>
      <c r="B27" s="8" t="s">
        <v>76</v>
      </c>
      <c r="C27" s="9"/>
      <c r="D27" s="9">
        <f>1+1</f>
        <v>2</v>
      </c>
      <c r="E27" s="9">
        <v>1</v>
      </c>
      <c r="F27" s="9">
        <f>1+1+1</f>
        <v>3</v>
      </c>
      <c r="G27" s="9">
        <f>1+1</f>
        <v>2</v>
      </c>
      <c r="H27" s="9">
        <f>1+1+1</f>
        <v>3</v>
      </c>
      <c r="I27" s="9">
        <v>1</v>
      </c>
      <c r="J27" s="9">
        <v>1</v>
      </c>
      <c r="K27" s="9">
        <f>1+1</f>
        <v>2</v>
      </c>
      <c r="L27" s="9">
        <v>1</v>
      </c>
      <c r="M27" s="9">
        <v>1</v>
      </c>
      <c r="N27" s="9">
        <v>1</v>
      </c>
      <c r="O27" s="31">
        <f t="shared" si="0"/>
        <v>1.5</v>
      </c>
      <c r="P27" s="32">
        <f t="shared" si="1"/>
        <v>18</v>
      </c>
      <c r="R27" s="33" t="s">
        <v>76</v>
      </c>
      <c r="S27" s="15">
        <v>18</v>
      </c>
    </row>
    <row r="28" spans="1:19" ht="30" customHeight="1">
      <c r="A28" s="182"/>
      <c r="B28" s="8" t="s">
        <v>77</v>
      </c>
      <c r="C28" s="9"/>
      <c r="D28" s="9">
        <f>1+1+1</f>
        <v>3</v>
      </c>
      <c r="E28" s="9">
        <v>1</v>
      </c>
      <c r="F28" s="9">
        <f>1+1+1</f>
        <v>3</v>
      </c>
      <c r="G28" s="9">
        <f>1+1+1</f>
        <v>3</v>
      </c>
      <c r="H28" s="9">
        <v>1</v>
      </c>
      <c r="I28" s="9">
        <f>1+1+1</f>
        <v>3</v>
      </c>
      <c r="J28" s="9">
        <v>1</v>
      </c>
      <c r="K28" s="9">
        <f>1+1+1+1</f>
        <v>4</v>
      </c>
      <c r="L28" s="9">
        <v>1</v>
      </c>
      <c r="M28" s="9">
        <f>1+1</f>
        <v>2</v>
      </c>
      <c r="N28" s="9">
        <f>1+1+1</f>
        <v>3</v>
      </c>
      <c r="O28" s="31">
        <f t="shared" si="0"/>
        <v>2.0833333333333335</v>
      </c>
      <c r="P28" s="32">
        <f t="shared" si="1"/>
        <v>25</v>
      </c>
      <c r="R28" s="33" t="s">
        <v>77</v>
      </c>
      <c r="S28" s="15">
        <v>25</v>
      </c>
    </row>
    <row r="29" spans="1:19" ht="30" customHeight="1">
      <c r="A29" s="182"/>
      <c r="B29" s="8" t="s">
        <v>78</v>
      </c>
      <c r="C29" s="9"/>
      <c r="D29" s="9"/>
      <c r="E29" s="9"/>
      <c r="F29" s="9"/>
      <c r="G29" s="9"/>
      <c r="H29" s="9">
        <v>1</v>
      </c>
      <c r="I29" s="9"/>
      <c r="J29" s="9"/>
      <c r="K29" s="9"/>
      <c r="L29" s="9"/>
      <c r="M29" s="9"/>
      <c r="N29" s="9"/>
      <c r="O29" s="31">
        <f t="shared" si="0"/>
        <v>8.3333333333333329E-2</v>
      </c>
      <c r="P29" s="32">
        <f t="shared" si="1"/>
        <v>1</v>
      </c>
      <c r="R29" s="33" t="s">
        <v>78</v>
      </c>
      <c r="S29" s="15">
        <v>1</v>
      </c>
    </row>
    <row r="30" spans="1:19" ht="44.85" customHeight="1">
      <c r="A30" s="182"/>
      <c r="B30" s="8" t="s">
        <v>79</v>
      </c>
      <c r="C30" s="9">
        <f t="shared" ref="C30:N30" si="2">+C20+C21+C22+C23+C24+C25+C26+C27+C28+C29</f>
        <v>0</v>
      </c>
      <c r="D30" s="9">
        <f t="shared" si="2"/>
        <v>14</v>
      </c>
      <c r="E30" s="9">
        <f t="shared" si="2"/>
        <v>12</v>
      </c>
      <c r="F30" s="9">
        <f t="shared" si="2"/>
        <v>15</v>
      </c>
      <c r="G30" s="9">
        <f t="shared" si="2"/>
        <v>24</v>
      </c>
      <c r="H30" s="9">
        <f t="shared" si="2"/>
        <v>20</v>
      </c>
      <c r="I30" s="9">
        <f t="shared" si="2"/>
        <v>9</v>
      </c>
      <c r="J30" s="9">
        <f t="shared" si="2"/>
        <v>12</v>
      </c>
      <c r="K30" s="9">
        <f t="shared" si="2"/>
        <v>25</v>
      </c>
      <c r="L30" s="9">
        <f t="shared" si="2"/>
        <v>22</v>
      </c>
      <c r="M30" s="9">
        <f t="shared" si="2"/>
        <v>19</v>
      </c>
      <c r="N30" s="9">
        <f t="shared" si="2"/>
        <v>11</v>
      </c>
      <c r="O30" s="31">
        <f t="shared" si="0"/>
        <v>15.25</v>
      </c>
      <c r="P30" s="32">
        <f t="shared" si="1"/>
        <v>183</v>
      </c>
    </row>
    <row r="31" spans="1:19" ht="96.75" customHeight="1">
      <c r="A31" s="182"/>
      <c r="B31" s="8" t="s">
        <v>80</v>
      </c>
      <c r="C31" s="9"/>
      <c r="D31" s="9" t="s">
        <v>81</v>
      </c>
      <c r="E31" s="9" t="s">
        <v>82</v>
      </c>
      <c r="F31" s="9"/>
      <c r="G31" s="9" t="s">
        <v>83</v>
      </c>
      <c r="H31" s="9" t="s">
        <v>84</v>
      </c>
      <c r="I31" s="9" t="s">
        <v>85</v>
      </c>
      <c r="J31" s="9"/>
      <c r="K31" s="9"/>
      <c r="L31" s="9"/>
      <c r="M31" s="9" t="s">
        <v>86</v>
      </c>
      <c r="N31" s="9"/>
      <c r="O31" s="34"/>
      <c r="P31" s="32"/>
    </row>
    <row r="32" spans="1:19" ht="45" customHeight="1">
      <c r="A32" s="182"/>
      <c r="B32" s="8" t="s">
        <v>87</v>
      </c>
      <c r="C32" s="9"/>
      <c r="D32" s="9">
        <v>1</v>
      </c>
      <c r="E32" s="9">
        <v>4</v>
      </c>
      <c r="F32" s="9"/>
      <c r="G32" s="9">
        <v>4</v>
      </c>
      <c r="H32" s="9">
        <v>6</v>
      </c>
      <c r="I32" s="9">
        <v>4</v>
      </c>
      <c r="J32" s="9"/>
      <c r="K32" s="9"/>
      <c r="L32" s="9"/>
      <c r="M32" s="9">
        <v>2</v>
      </c>
      <c r="N32" s="9"/>
      <c r="O32" s="31">
        <f>+(C32+D32+E32+F32+G32+H32+I32+J32+K32+L32+M32+N32)/12</f>
        <v>1.75</v>
      </c>
      <c r="P32" s="32">
        <f>+C32+D32+E32+F32+G32+H32+I32++J32+K32+L32+M32+N32</f>
        <v>21</v>
      </c>
    </row>
    <row r="33" spans="1:16" ht="30" customHeight="1">
      <c r="A33" s="182"/>
      <c r="B33" s="8" t="s">
        <v>88</v>
      </c>
      <c r="C33" s="9"/>
      <c r="D33" s="9" t="s">
        <v>89</v>
      </c>
      <c r="E33" s="9" t="s">
        <v>90</v>
      </c>
      <c r="F33" s="9" t="s">
        <v>91</v>
      </c>
      <c r="G33" s="9"/>
      <c r="H33" s="9"/>
      <c r="I33" s="9"/>
      <c r="J33" s="9" t="s">
        <v>89</v>
      </c>
      <c r="K33" s="9" t="s">
        <v>92</v>
      </c>
      <c r="L33" s="9"/>
      <c r="M33" s="9"/>
      <c r="N33" s="9" t="s">
        <v>91</v>
      </c>
      <c r="O33" s="34"/>
      <c r="P33" s="32"/>
    </row>
    <row r="34" spans="1:16" ht="30" customHeight="1">
      <c r="A34" s="182"/>
      <c r="B34" s="8" t="s">
        <v>93</v>
      </c>
      <c r="C34" s="9"/>
      <c r="D34" s="9">
        <v>4</v>
      </c>
      <c r="E34" s="9">
        <v>4</v>
      </c>
      <c r="F34" s="9">
        <v>2</v>
      </c>
      <c r="G34" s="9"/>
      <c r="H34" s="9"/>
      <c r="I34" s="9"/>
      <c r="J34" s="9">
        <v>4</v>
      </c>
      <c r="K34" s="9">
        <v>2</v>
      </c>
      <c r="L34" s="9"/>
      <c r="M34" s="9"/>
      <c r="N34" s="9">
        <v>2</v>
      </c>
      <c r="O34" s="31">
        <f>+(C34+D34+E34+F34+G34+H34+I34+J34+K34+L34+M34+N34)/12</f>
        <v>1.5</v>
      </c>
      <c r="P34" s="32">
        <f>+C34+D34+E34+F34+G34+H34+I34++J34+K34+L34+M34+N34</f>
        <v>18</v>
      </c>
    </row>
    <row r="35" spans="1:16" ht="30" customHeight="1">
      <c r="A35" s="182"/>
      <c r="B35" s="8" t="s">
        <v>94</v>
      </c>
      <c r="C35" s="9"/>
      <c r="D35" s="9">
        <f t="shared" ref="D35:N35" si="3">+D32+D34</f>
        <v>5</v>
      </c>
      <c r="E35" s="9">
        <f t="shared" si="3"/>
        <v>8</v>
      </c>
      <c r="F35" s="9">
        <f t="shared" si="3"/>
        <v>2</v>
      </c>
      <c r="G35" s="9">
        <f t="shared" si="3"/>
        <v>4</v>
      </c>
      <c r="H35" s="9">
        <f t="shared" si="3"/>
        <v>6</v>
      </c>
      <c r="I35" s="9">
        <f t="shared" si="3"/>
        <v>4</v>
      </c>
      <c r="J35" s="9">
        <f t="shared" si="3"/>
        <v>4</v>
      </c>
      <c r="K35" s="9">
        <f t="shared" si="3"/>
        <v>2</v>
      </c>
      <c r="L35" s="9">
        <f t="shared" si="3"/>
        <v>0</v>
      </c>
      <c r="M35" s="9">
        <f t="shared" si="3"/>
        <v>2</v>
      </c>
      <c r="N35" s="9">
        <f t="shared" si="3"/>
        <v>2</v>
      </c>
      <c r="O35" s="31">
        <f>+(C35+D35+E35+F35+G35+H35+I35+J35+K35+L35+M35+N35)/12</f>
        <v>3.25</v>
      </c>
      <c r="P35" s="32">
        <f>+C35+D35+E35+F35+G35+H35+I35++J35+K35+L35+M35+N35</f>
        <v>39</v>
      </c>
    </row>
    <row r="36" spans="1:16" ht="44.85" customHeight="1">
      <c r="A36" s="182"/>
      <c r="B36" s="8" t="s">
        <v>95</v>
      </c>
      <c r="C36" s="9"/>
      <c r="D36" s="32">
        <f t="shared" ref="D36:N36" si="4">+D30-D35</f>
        <v>9</v>
      </c>
      <c r="E36" s="32">
        <f t="shared" si="4"/>
        <v>4</v>
      </c>
      <c r="F36" s="32">
        <f t="shared" si="4"/>
        <v>13</v>
      </c>
      <c r="G36" s="32">
        <f t="shared" si="4"/>
        <v>20</v>
      </c>
      <c r="H36" s="32">
        <f t="shared" si="4"/>
        <v>14</v>
      </c>
      <c r="I36" s="32">
        <f t="shared" si="4"/>
        <v>5</v>
      </c>
      <c r="J36" s="32">
        <f t="shared" si="4"/>
        <v>8</v>
      </c>
      <c r="K36" s="32">
        <f t="shared" si="4"/>
        <v>23</v>
      </c>
      <c r="L36" s="32">
        <f t="shared" si="4"/>
        <v>22</v>
      </c>
      <c r="M36" s="32">
        <f t="shared" si="4"/>
        <v>17</v>
      </c>
      <c r="N36" s="32">
        <f t="shared" si="4"/>
        <v>9</v>
      </c>
      <c r="O36" s="31">
        <f>+(C36+D36+E36+F36+G36+H36+I36+J36+K36+L36+M36+N36)/12</f>
        <v>12</v>
      </c>
      <c r="P36" s="32">
        <f>+P30-P35</f>
        <v>144</v>
      </c>
    </row>
    <row r="37" spans="1:16" s="15" customFormat="1" ht="12.75" customHeight="1">
      <c r="A37" s="13"/>
      <c r="B37" s="13"/>
      <c r="C37" s="14">
        <v>0.8</v>
      </c>
      <c r="D37" s="14">
        <v>0.8</v>
      </c>
      <c r="E37" s="14">
        <v>0.8</v>
      </c>
      <c r="F37" s="14">
        <v>0.8</v>
      </c>
      <c r="G37" s="14">
        <v>0.8</v>
      </c>
      <c r="H37" s="14">
        <v>0.8</v>
      </c>
      <c r="I37" s="14">
        <v>0.8</v>
      </c>
      <c r="J37" s="14">
        <v>0.8</v>
      </c>
      <c r="K37" s="14">
        <v>0.8</v>
      </c>
      <c r="L37" s="14">
        <v>0.8</v>
      </c>
      <c r="M37" s="14">
        <v>0.8</v>
      </c>
      <c r="N37" s="14"/>
      <c r="O37" s="14">
        <v>0.8</v>
      </c>
      <c r="P37" s="35"/>
    </row>
    <row r="38" spans="1:16" ht="30" customHeight="1">
      <c r="A38" s="174" t="s">
        <v>96</v>
      </c>
      <c r="B38" s="174"/>
      <c r="C38" s="174"/>
      <c r="D38" s="174"/>
      <c r="E38" s="174"/>
      <c r="F38" s="174"/>
      <c r="G38" s="174"/>
      <c r="H38" s="174"/>
      <c r="I38" s="174"/>
      <c r="J38" s="174"/>
      <c r="K38" s="183" t="s">
        <v>97</v>
      </c>
      <c r="L38" s="183"/>
      <c r="M38" s="183"/>
      <c r="N38" s="183"/>
      <c r="O38" s="183"/>
      <c r="P38" s="183"/>
    </row>
    <row r="39" spans="1:16" ht="59.65" customHeight="1">
      <c r="A39" s="21"/>
      <c r="B39" s="21"/>
      <c r="C39" s="21"/>
      <c r="D39" s="21"/>
      <c r="E39" s="21"/>
      <c r="F39" s="21"/>
      <c r="G39" s="22"/>
      <c r="H39" s="22"/>
      <c r="I39" s="22"/>
      <c r="J39" s="22"/>
      <c r="K39" s="184" t="s">
        <v>98</v>
      </c>
      <c r="L39" s="184"/>
      <c r="M39" s="184"/>
      <c r="N39" s="184"/>
      <c r="O39" s="184"/>
      <c r="P39" s="7"/>
    </row>
    <row r="40" spans="1:16" ht="59.65" customHeight="1">
      <c r="A40" s="21"/>
      <c r="B40" s="21"/>
      <c r="C40" s="21"/>
      <c r="D40" s="21"/>
      <c r="E40" s="21"/>
      <c r="F40" s="21"/>
      <c r="G40" s="21"/>
      <c r="H40" s="22"/>
      <c r="I40" s="22"/>
      <c r="J40" s="22"/>
      <c r="K40" s="184" t="s">
        <v>99</v>
      </c>
      <c r="L40" s="184"/>
      <c r="M40" s="184"/>
      <c r="N40" s="184"/>
      <c r="O40" s="184"/>
      <c r="P40" s="7"/>
    </row>
    <row r="41" spans="1:16" ht="59.65" customHeight="1">
      <c r="A41" s="21"/>
      <c r="B41" s="21"/>
      <c r="C41" s="21"/>
      <c r="D41" s="21"/>
      <c r="E41" s="21"/>
      <c r="F41" s="21"/>
      <c r="G41" s="21"/>
      <c r="H41" s="22"/>
      <c r="I41" s="22"/>
      <c r="J41" s="22"/>
      <c r="K41" s="184" t="s">
        <v>100</v>
      </c>
      <c r="L41" s="184"/>
      <c r="M41" s="184"/>
      <c r="N41" s="184"/>
      <c r="O41" s="184"/>
      <c r="P41" s="7" t="s">
        <v>101</v>
      </c>
    </row>
    <row r="42" spans="1:16" ht="59.65" customHeight="1">
      <c r="A42" s="21"/>
      <c r="B42" s="21"/>
      <c r="C42" s="21"/>
      <c r="D42" s="21"/>
      <c r="E42" s="21"/>
      <c r="F42" s="21"/>
      <c r="G42" s="21"/>
      <c r="H42" s="22"/>
      <c r="I42" s="22"/>
      <c r="J42" s="22"/>
      <c r="K42" s="184" t="s">
        <v>102</v>
      </c>
      <c r="L42" s="184"/>
      <c r="M42" s="184"/>
      <c r="N42" s="184"/>
      <c r="O42" s="184"/>
      <c r="P42" s="7"/>
    </row>
    <row r="43" spans="1:16" ht="59.65" customHeight="1">
      <c r="A43" s="21"/>
      <c r="B43" s="21"/>
      <c r="C43" s="21"/>
      <c r="D43" s="21"/>
      <c r="E43" s="21"/>
      <c r="F43" s="21"/>
      <c r="G43" s="21"/>
      <c r="H43" s="22"/>
      <c r="I43" s="22"/>
      <c r="J43" s="22"/>
      <c r="K43" s="184" t="s">
        <v>103</v>
      </c>
      <c r="L43" s="184"/>
      <c r="M43" s="184"/>
      <c r="N43" s="184"/>
      <c r="O43" s="184"/>
      <c r="P43" s="7"/>
    </row>
    <row r="44" spans="1:16" ht="36.6" customHeight="1">
      <c r="A44" s="185" t="s">
        <v>104</v>
      </c>
      <c r="B44" s="185"/>
      <c r="C44" s="185"/>
      <c r="D44" s="185"/>
      <c r="E44" s="185"/>
      <c r="F44" s="185"/>
      <c r="G44" s="185"/>
      <c r="H44" s="185"/>
      <c r="I44" s="185"/>
      <c r="J44" s="185"/>
      <c r="K44" s="183" t="s">
        <v>105</v>
      </c>
      <c r="L44" s="183"/>
      <c r="M44" s="183"/>
      <c r="N44" s="183"/>
      <c r="O44" s="183"/>
      <c r="P44" s="183"/>
    </row>
    <row r="45" spans="1:16" ht="47.85" customHeight="1">
      <c r="A45" s="185"/>
      <c r="B45" s="185"/>
      <c r="C45" s="185"/>
      <c r="D45" s="185"/>
      <c r="E45" s="185"/>
      <c r="F45" s="185"/>
      <c r="G45" s="185"/>
      <c r="H45" s="185"/>
      <c r="I45" s="185"/>
      <c r="J45" s="185"/>
      <c r="K45" s="173" t="s">
        <v>49</v>
      </c>
      <c r="L45" s="173"/>
      <c r="M45" s="173"/>
      <c r="N45" s="173"/>
      <c r="O45" s="173"/>
      <c r="P45" s="173"/>
    </row>
    <row r="46" spans="1:16" ht="47.85" customHeight="1">
      <c r="A46" s="185"/>
      <c r="B46" s="185"/>
      <c r="C46" s="185"/>
      <c r="D46" s="185"/>
      <c r="E46" s="185"/>
      <c r="F46" s="185"/>
      <c r="G46" s="185"/>
      <c r="H46" s="185"/>
      <c r="I46" s="185"/>
      <c r="J46" s="185"/>
      <c r="K46" s="173" t="s">
        <v>51</v>
      </c>
      <c r="L46" s="173"/>
      <c r="M46" s="173"/>
      <c r="N46" s="173"/>
      <c r="O46" s="173"/>
      <c r="P46" s="173"/>
    </row>
    <row r="47" spans="1:16" ht="48.75" customHeight="1">
      <c r="A47" s="185"/>
      <c r="B47" s="185"/>
      <c r="C47" s="185"/>
      <c r="D47" s="185"/>
      <c r="E47" s="185"/>
      <c r="F47" s="185"/>
      <c r="G47" s="185"/>
      <c r="H47" s="185"/>
      <c r="I47" s="185"/>
      <c r="J47" s="185"/>
      <c r="K47" s="177" t="s">
        <v>106</v>
      </c>
      <c r="L47" s="177"/>
      <c r="M47" s="37">
        <v>31</v>
      </c>
      <c r="N47" s="37">
        <v>12</v>
      </c>
      <c r="O47" s="181">
        <v>2015</v>
      </c>
      <c r="P47" s="181"/>
    </row>
    <row r="48" spans="1:16" ht="48.75" customHeight="1">
      <c r="A48" s="185"/>
      <c r="B48" s="185"/>
      <c r="C48" s="185"/>
      <c r="D48" s="185"/>
      <c r="E48" s="185"/>
      <c r="F48" s="185"/>
      <c r="G48" s="185"/>
      <c r="H48" s="185"/>
      <c r="I48" s="185"/>
      <c r="J48" s="185"/>
      <c r="K48" s="177" t="s">
        <v>107</v>
      </c>
      <c r="L48" s="177"/>
      <c r="M48" s="37">
        <v>22</v>
      </c>
      <c r="N48" s="37">
        <v>1</v>
      </c>
      <c r="O48" s="181">
        <v>2016</v>
      </c>
      <c r="P48" s="181"/>
    </row>
    <row r="49" spans="1:16" ht="27.75" customHeight="1">
      <c r="A49" s="185"/>
      <c r="B49" s="185"/>
      <c r="C49" s="185"/>
      <c r="D49" s="185"/>
      <c r="E49" s="185"/>
      <c r="F49" s="185"/>
      <c r="G49" s="185"/>
      <c r="H49" s="185"/>
      <c r="I49" s="185"/>
      <c r="J49" s="185"/>
      <c r="K49" s="177" t="s">
        <v>108</v>
      </c>
      <c r="L49" s="177"/>
      <c r="M49" s="179" t="s">
        <v>109</v>
      </c>
      <c r="N49" s="179"/>
      <c r="O49" s="179"/>
      <c r="P49" s="179"/>
    </row>
  </sheetData>
  <sheetProtection password="C6BA" sheet="1" formatCells="0" formatColumns="0" formatRows="0" insertColumns="0" insertRows="0" insertHyperlinks="0" deleteColumns="0" deleteRows="0" sort="0" autoFilter="0" pivotTables="0"/>
  <mergeCells count="57">
    <mergeCell ref="A1:C6"/>
    <mergeCell ref="D1:L3"/>
    <mergeCell ref="M1:P2"/>
    <mergeCell ref="M3:P4"/>
    <mergeCell ref="D4:L6"/>
    <mergeCell ref="M5:P6"/>
    <mergeCell ref="A7:P7"/>
    <mergeCell ref="A8:P8"/>
    <mergeCell ref="A9:C9"/>
    <mergeCell ref="D9:I9"/>
    <mergeCell ref="J9:L9"/>
    <mergeCell ref="M9:P9"/>
    <mergeCell ref="A10:C10"/>
    <mergeCell ref="D10:I10"/>
    <mergeCell ref="J10:L10"/>
    <mergeCell ref="M10:P10"/>
    <mergeCell ref="A11:C11"/>
    <mergeCell ref="D11:I11"/>
    <mergeCell ref="J11:L11"/>
    <mergeCell ref="M11:P11"/>
    <mergeCell ref="A12:C12"/>
    <mergeCell ref="D12:I12"/>
    <mergeCell ref="J12:L12"/>
    <mergeCell ref="M12:P12"/>
    <mergeCell ref="A13:C13"/>
    <mergeCell ref="D13:I13"/>
    <mergeCell ref="J13:L13"/>
    <mergeCell ref="M13:P13"/>
    <mergeCell ref="K46:P46"/>
    <mergeCell ref="K47:L47"/>
    <mergeCell ref="O47:P47"/>
    <mergeCell ref="A14:C14"/>
    <mergeCell ref="D14:I14"/>
    <mergeCell ref="J14:L14"/>
    <mergeCell ref="M14:P14"/>
    <mergeCell ref="A15:C16"/>
    <mergeCell ref="D15:H15"/>
    <mergeCell ref="I15:K16"/>
    <mergeCell ref="L15:P15"/>
    <mergeCell ref="D16:H16"/>
    <mergeCell ref="L16:P16"/>
    <mergeCell ref="K48:L48"/>
    <mergeCell ref="O48:P48"/>
    <mergeCell ref="K49:L49"/>
    <mergeCell ref="M49:P49"/>
    <mergeCell ref="A18:P18"/>
    <mergeCell ref="A20:A36"/>
    <mergeCell ref="A38:J38"/>
    <mergeCell ref="K38:P38"/>
    <mergeCell ref="K39:O39"/>
    <mergeCell ref="K40:O40"/>
    <mergeCell ref="K41:O41"/>
    <mergeCell ref="K42:O42"/>
    <mergeCell ref="K43:O43"/>
    <mergeCell ref="A44:J49"/>
    <mergeCell ref="K44:P44"/>
    <mergeCell ref="K45:P45"/>
  </mergeCells>
  <dataValidations count="4">
    <dataValidation operator="equal" allowBlank="1" showErrorMessage="1" errorTitle="Seleccionar un valor de la lista" sqref="F20:M29 F31:M34">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s>
  <printOptions horizontalCentered="1"/>
  <pageMargins left="0.19685039370078741" right="0.19685039370078741" top="0.39370078740157483" bottom="0.23622047244094491" header="0.51181102362204722" footer="0.51181102362204722"/>
  <pageSetup scale="55" firstPageNumber="0" pageOrder="overThenDown"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14" zoomScale="75" zoomScaleNormal="75" workbookViewId="0">
      <selection activeCell="U35" sqref="U35:U38"/>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85546875" style="1" customWidth="1"/>
    <col min="6" max="6" width="9.85546875" style="1" customWidth="1"/>
    <col min="7" max="14" width="10.7109375" style="1" customWidth="1"/>
    <col min="15" max="15" width="11.28515625" style="1" customWidth="1"/>
    <col min="16" max="16" width="11" style="1" customWidth="1"/>
    <col min="17" max="17" width="10.7109375" style="1" customWidth="1"/>
    <col min="18" max="18" width="13.140625" style="1" customWidth="1"/>
    <col min="19" max="19" width="10.7109375" style="1" customWidth="1"/>
    <col min="20" max="21" width="12.140625" style="1" customWidth="1"/>
    <col min="22" max="22" width="2.7109375" style="1" customWidth="1"/>
    <col min="23"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c r="U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c r="U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c r="U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c r="U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c r="U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c r="U6" s="179"/>
    </row>
    <row r="7" spans="1:256" s="3" customFormat="1" ht="12.75" customHeight="1">
      <c r="A7" s="180"/>
      <c r="B7" s="180"/>
      <c r="C7" s="180"/>
      <c r="D7" s="180"/>
      <c r="E7" s="180"/>
      <c r="F7" s="180"/>
      <c r="G7" s="180"/>
      <c r="H7" s="180"/>
      <c r="I7" s="180"/>
      <c r="J7" s="180"/>
      <c r="K7" s="180"/>
      <c r="L7" s="180"/>
      <c r="M7" s="180"/>
      <c r="N7" s="180"/>
      <c r="O7" s="180"/>
      <c r="P7" s="180"/>
      <c r="Q7" s="180"/>
      <c r="R7" s="180"/>
      <c r="S7" s="180"/>
      <c r="T7" s="180"/>
      <c r="U7" s="180"/>
    </row>
    <row r="8" spans="1:256" ht="30" customHeight="1">
      <c r="A8" s="174" t="s">
        <v>2</v>
      </c>
      <c r="B8" s="174"/>
      <c r="C8" s="174"/>
      <c r="D8" s="174"/>
      <c r="E8" s="174"/>
      <c r="F8" s="174"/>
      <c r="G8" s="174"/>
      <c r="H8" s="174"/>
      <c r="I8" s="174"/>
      <c r="J8" s="174"/>
      <c r="K8" s="174"/>
      <c r="L8" s="174"/>
      <c r="M8" s="174"/>
      <c r="N8" s="174"/>
      <c r="O8" s="174"/>
      <c r="P8" s="174"/>
      <c r="Q8" s="174"/>
      <c r="R8" s="174"/>
      <c r="S8" s="174"/>
      <c r="T8" s="174"/>
      <c r="U8" s="174"/>
    </row>
    <row r="9" spans="1:256" ht="42" customHeight="1">
      <c r="A9" s="177" t="s">
        <v>3</v>
      </c>
      <c r="B9" s="177"/>
      <c r="C9" s="177"/>
      <c r="D9" s="177"/>
      <c r="E9" s="177"/>
      <c r="F9" s="177"/>
      <c r="G9" s="178" t="s">
        <v>110</v>
      </c>
      <c r="H9" s="178"/>
      <c r="I9" s="178"/>
      <c r="J9" s="178"/>
      <c r="K9" s="178"/>
      <c r="L9" s="178"/>
      <c r="M9" s="177" t="s">
        <v>5</v>
      </c>
      <c r="N9" s="177"/>
      <c r="O9" s="177"/>
      <c r="P9" s="186" t="s">
        <v>111</v>
      </c>
      <c r="Q9" s="186"/>
      <c r="R9" s="186"/>
      <c r="S9" s="186"/>
      <c r="T9" s="186"/>
      <c r="U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c r="T10" s="186"/>
      <c r="U10" s="186"/>
    </row>
    <row r="11" spans="1:256" ht="52.9" customHeight="1">
      <c r="A11" s="177" t="s">
        <v>11</v>
      </c>
      <c r="B11" s="177"/>
      <c r="C11" s="177"/>
      <c r="D11" s="177"/>
      <c r="E11" s="177"/>
      <c r="F11" s="177"/>
      <c r="G11" s="178" t="s">
        <v>112</v>
      </c>
      <c r="H11" s="178"/>
      <c r="I11" s="178"/>
      <c r="J11" s="178"/>
      <c r="K11" s="178"/>
      <c r="L11" s="178"/>
      <c r="M11" s="177" t="s">
        <v>13</v>
      </c>
      <c r="N11" s="177"/>
      <c r="O11" s="177"/>
      <c r="P11" s="186" t="s">
        <v>33</v>
      </c>
      <c r="Q11" s="186"/>
      <c r="R11" s="186"/>
      <c r="S11" s="186"/>
      <c r="T11" s="186"/>
      <c r="U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113</v>
      </c>
      <c r="B13" s="174"/>
      <c r="C13" s="174"/>
      <c r="D13" s="174"/>
      <c r="E13" s="174"/>
      <c r="F13" s="174"/>
      <c r="G13" s="174"/>
      <c r="H13" s="174"/>
      <c r="I13" s="174"/>
      <c r="J13" s="174"/>
      <c r="K13" s="174"/>
      <c r="L13" s="174"/>
      <c r="M13" s="174"/>
      <c r="N13" s="174"/>
      <c r="O13" s="174"/>
      <c r="P13" s="174"/>
      <c r="Q13" s="174"/>
      <c r="R13" s="174"/>
      <c r="S13" s="174"/>
      <c r="T13" s="174"/>
      <c r="U13" s="174"/>
    </row>
    <row r="14" spans="1:256" ht="30" customHeight="1">
      <c r="A14" s="4" t="s">
        <v>53</v>
      </c>
      <c r="B14" s="4" t="s">
        <v>114</v>
      </c>
      <c r="C14" s="6" t="s">
        <v>115</v>
      </c>
      <c r="D14" s="6" t="s">
        <v>116</v>
      </c>
      <c r="E14" s="6" t="s">
        <v>117</v>
      </c>
      <c r="F14" s="6" t="s">
        <v>55</v>
      </c>
      <c r="G14" s="4" t="s">
        <v>56</v>
      </c>
      <c r="H14" s="4" t="s">
        <v>57</v>
      </c>
      <c r="I14" s="4" t="s">
        <v>58</v>
      </c>
      <c r="J14" s="4" t="s">
        <v>59</v>
      </c>
      <c r="K14" s="4" t="s">
        <v>60</v>
      </c>
      <c r="L14" s="4" t="s">
        <v>61</v>
      </c>
      <c r="M14" s="4" t="s">
        <v>62</v>
      </c>
      <c r="N14" s="4" t="s">
        <v>63</v>
      </c>
      <c r="O14" s="4" t="s">
        <v>64</v>
      </c>
      <c r="P14" s="4" t="s">
        <v>65</v>
      </c>
      <c r="Q14" s="4" t="s">
        <v>66</v>
      </c>
      <c r="R14" s="4" t="s">
        <v>118</v>
      </c>
      <c r="S14" s="4" t="s">
        <v>114</v>
      </c>
      <c r="T14" s="4" t="s">
        <v>119</v>
      </c>
      <c r="U14" s="4" t="s">
        <v>120</v>
      </c>
    </row>
    <row r="15" spans="1:256" ht="15" customHeight="1">
      <c r="A15" s="173">
        <v>2015</v>
      </c>
      <c r="B15" s="173">
        <v>914</v>
      </c>
      <c r="C15" s="7" t="s">
        <v>121</v>
      </c>
      <c r="D15" s="38">
        <v>92000</v>
      </c>
      <c r="E15" s="39" t="s">
        <v>122</v>
      </c>
      <c r="F15" s="9">
        <v>0</v>
      </c>
      <c r="G15" s="9">
        <v>123</v>
      </c>
      <c r="H15" s="9">
        <v>4294</v>
      </c>
      <c r="I15" s="9">
        <v>8411</v>
      </c>
      <c r="J15" s="9">
        <v>19864</v>
      </c>
      <c r="K15" s="9">
        <v>24922</v>
      </c>
      <c r="L15" s="9">
        <v>42470</v>
      </c>
      <c r="M15" s="9">
        <v>50099</v>
      </c>
      <c r="N15" s="9">
        <v>57286</v>
      </c>
      <c r="O15" s="9">
        <v>66314</v>
      </c>
      <c r="P15" s="9">
        <v>72718</v>
      </c>
      <c r="Q15" s="9">
        <v>80027</v>
      </c>
      <c r="R15" s="9">
        <f>MAX(F15,G15,H15,I15,J15,K15,L15,M15,N15,O15,P15,Q15)</f>
        <v>80027</v>
      </c>
      <c r="S15" s="173">
        <v>914</v>
      </c>
      <c r="T15" s="34">
        <f t="shared" ref="T15:T21" si="0">+R15/D15</f>
        <v>0.86985869565217389</v>
      </c>
      <c r="U15" s="192">
        <f>+(T15+T16)/2</f>
        <v>0.96617934782608694</v>
      </c>
    </row>
    <row r="16" spans="1:256" ht="28.5" customHeight="1">
      <c r="A16" s="173"/>
      <c r="B16" s="173"/>
      <c r="C16" s="7" t="s">
        <v>123</v>
      </c>
      <c r="D16" s="40">
        <v>80</v>
      </c>
      <c r="E16" s="39" t="s">
        <v>124</v>
      </c>
      <c r="F16" s="9">
        <v>0</v>
      </c>
      <c r="G16" s="9">
        <v>0</v>
      </c>
      <c r="H16" s="9">
        <v>2</v>
      </c>
      <c r="I16" s="9">
        <v>1</v>
      </c>
      <c r="J16" s="9">
        <v>0</v>
      </c>
      <c r="K16" s="9">
        <v>0</v>
      </c>
      <c r="L16" s="9">
        <v>5</v>
      </c>
      <c r="M16" s="9">
        <v>8</v>
      </c>
      <c r="N16" s="9">
        <v>50</v>
      </c>
      <c r="O16" s="9">
        <v>66</v>
      </c>
      <c r="P16" s="9">
        <v>85</v>
      </c>
      <c r="Q16" s="9">
        <v>85</v>
      </c>
      <c r="R16" s="9">
        <f>MAX(F16,G16,H16,I16,J16,K16,L16,M16,N16,O16,P16,Q16)</f>
        <v>85</v>
      </c>
      <c r="S16" s="173"/>
      <c r="T16" s="34">
        <f t="shared" si="0"/>
        <v>1.0625</v>
      </c>
      <c r="U16" s="192"/>
    </row>
    <row r="17" spans="1:21" ht="30" customHeight="1">
      <c r="A17" s="173"/>
      <c r="B17" s="173">
        <v>915</v>
      </c>
      <c r="C17" s="7" t="s">
        <v>125</v>
      </c>
      <c r="D17" s="38">
        <v>65216</v>
      </c>
      <c r="E17" s="39" t="s">
        <v>126</v>
      </c>
      <c r="F17" s="9">
        <v>0</v>
      </c>
      <c r="G17" s="9">
        <v>11726</v>
      </c>
      <c r="H17" s="9">
        <v>24602</v>
      </c>
      <c r="I17" s="9">
        <v>28125</v>
      </c>
      <c r="J17" s="9">
        <v>30414</v>
      </c>
      <c r="K17" s="9">
        <v>32251</v>
      </c>
      <c r="L17" s="9">
        <v>40090</v>
      </c>
      <c r="M17" s="9">
        <v>43834</v>
      </c>
      <c r="N17" s="9">
        <v>51190</v>
      </c>
      <c r="O17" s="9">
        <v>54619</v>
      </c>
      <c r="P17" s="9">
        <v>58960</v>
      </c>
      <c r="Q17" s="9">
        <v>58960</v>
      </c>
      <c r="R17" s="9">
        <f>MAX(F17,G17,H17,I17,J17,K17,L17,M17,N17,O17,P17,Q17)</f>
        <v>58960</v>
      </c>
      <c r="S17" s="173">
        <v>915</v>
      </c>
      <c r="T17" s="34">
        <f t="shared" si="0"/>
        <v>0.90407262021589796</v>
      </c>
      <c r="U17" s="192">
        <f>+T17*0.7+T18*0.3</f>
        <v>0.9401679073218604</v>
      </c>
    </row>
    <row r="18" spans="1:21" ht="30" customHeight="1">
      <c r="A18" s="173"/>
      <c r="B18" s="173"/>
      <c r="C18" s="7" t="s">
        <v>127</v>
      </c>
      <c r="D18" s="40">
        <v>41</v>
      </c>
      <c r="E18" s="39" t="s">
        <v>128</v>
      </c>
      <c r="F18" s="9">
        <v>0</v>
      </c>
      <c r="G18" s="9">
        <v>0</v>
      </c>
      <c r="H18" s="9">
        <v>14</v>
      </c>
      <c r="I18" s="9">
        <v>26</v>
      </c>
      <c r="J18" s="9">
        <v>30</v>
      </c>
      <c r="K18" s="9">
        <v>36</v>
      </c>
      <c r="L18" s="9">
        <v>38</v>
      </c>
      <c r="M18" s="9">
        <v>40</v>
      </c>
      <c r="N18" s="9">
        <v>42</v>
      </c>
      <c r="O18" s="9">
        <v>42</v>
      </c>
      <c r="P18" s="9">
        <v>42</v>
      </c>
      <c r="Q18" s="9">
        <v>42</v>
      </c>
      <c r="R18" s="9">
        <f>MAX(F18,G18,H18,I18,J18,K18,L18,M18,N18,O18,P18,Q18)</f>
        <v>42</v>
      </c>
      <c r="S18" s="173"/>
      <c r="T18" s="34">
        <f t="shared" si="0"/>
        <v>1.024390243902439</v>
      </c>
      <c r="U18" s="192"/>
    </row>
    <row r="19" spans="1:21" ht="15" customHeight="1">
      <c r="A19" s="173"/>
      <c r="B19" s="173">
        <v>772</v>
      </c>
      <c r="C19" s="7" t="s">
        <v>129</v>
      </c>
      <c r="D19" s="40">
        <v>6</v>
      </c>
      <c r="E19" s="39" t="s">
        <v>130</v>
      </c>
      <c r="F19" s="9">
        <v>0</v>
      </c>
      <c r="G19" s="9">
        <v>0</v>
      </c>
      <c r="H19" s="9">
        <v>2</v>
      </c>
      <c r="I19" s="9">
        <v>0</v>
      </c>
      <c r="J19" s="9">
        <v>2</v>
      </c>
      <c r="K19" s="9">
        <v>2</v>
      </c>
      <c r="L19" s="9">
        <v>3</v>
      </c>
      <c r="M19" s="9">
        <v>5</v>
      </c>
      <c r="N19" s="9">
        <v>4</v>
      </c>
      <c r="O19" s="9">
        <v>0</v>
      </c>
      <c r="P19" s="9">
        <v>0</v>
      </c>
      <c r="Q19" s="9">
        <v>0</v>
      </c>
      <c r="R19" s="9">
        <f>MAX(F19,G19,H19,I19,J19,K19,L19,M19,N19,O19,P19,Q19)</f>
        <v>5</v>
      </c>
      <c r="S19" s="173">
        <v>772</v>
      </c>
      <c r="T19" s="34">
        <f t="shared" si="0"/>
        <v>0.83333333333333337</v>
      </c>
      <c r="U19" s="192">
        <f>+(T19+T20+T21)/3</f>
        <v>0.98444444444444457</v>
      </c>
    </row>
    <row r="20" spans="1:21" ht="15" customHeight="1">
      <c r="A20" s="173"/>
      <c r="B20" s="173"/>
      <c r="C20" s="7" t="s">
        <v>131</v>
      </c>
      <c r="D20" s="40">
        <v>50</v>
      </c>
      <c r="E20" s="39" t="s">
        <v>132</v>
      </c>
      <c r="F20" s="9">
        <v>1</v>
      </c>
      <c r="G20" s="9">
        <v>1</v>
      </c>
      <c r="H20" s="9">
        <v>1</v>
      </c>
      <c r="I20" s="9">
        <v>1</v>
      </c>
      <c r="J20" s="9">
        <f>3+3</f>
        <v>6</v>
      </c>
      <c r="K20" s="9">
        <f>1+2</f>
        <v>3</v>
      </c>
      <c r="L20" s="9">
        <f>1+1+6+2+1</f>
        <v>11</v>
      </c>
      <c r="M20" s="9">
        <f>1+1+1+1+1+1+1</f>
        <v>7</v>
      </c>
      <c r="N20" s="9">
        <f>1+1+1+1+1+1</f>
        <v>6</v>
      </c>
      <c r="O20" s="9">
        <f>1+1+1+1+1+1+2</f>
        <v>8</v>
      </c>
      <c r="P20" s="9">
        <f>1+1+1+1+1+1+2+1</f>
        <v>9</v>
      </c>
      <c r="Q20" s="9">
        <f>1+1</f>
        <v>2</v>
      </c>
      <c r="R20" s="9">
        <f>+SUM(F20,G20,H20,I20,J20,K20,L20,M20,N20,O20,P20,Q20)</f>
        <v>56</v>
      </c>
      <c r="S20" s="173"/>
      <c r="T20" s="34">
        <f t="shared" si="0"/>
        <v>1.1200000000000001</v>
      </c>
      <c r="U20" s="192"/>
    </row>
    <row r="21" spans="1:21" ht="15" customHeight="1">
      <c r="A21" s="173"/>
      <c r="B21" s="173"/>
      <c r="C21" s="7" t="s">
        <v>131</v>
      </c>
      <c r="D21" s="40">
        <v>2</v>
      </c>
      <c r="E21" s="39" t="s">
        <v>133</v>
      </c>
      <c r="F21" s="9">
        <v>0</v>
      </c>
      <c r="G21" s="9">
        <v>0</v>
      </c>
      <c r="H21" s="9">
        <v>0</v>
      </c>
      <c r="I21" s="9">
        <v>0</v>
      </c>
      <c r="J21" s="9">
        <v>0</v>
      </c>
      <c r="K21" s="9">
        <v>0</v>
      </c>
      <c r="L21" s="9">
        <v>0</v>
      </c>
      <c r="M21" s="9">
        <v>0</v>
      </c>
      <c r="N21" s="9">
        <v>0</v>
      </c>
      <c r="O21" s="9">
        <v>2</v>
      </c>
      <c r="P21" s="9">
        <v>0</v>
      </c>
      <c r="Q21" s="9">
        <v>0</v>
      </c>
      <c r="R21" s="9">
        <f>MAX(F21,G21,H21,I21,J21,K21,L21,M21,N21,O21,P21,Q21)</f>
        <v>2</v>
      </c>
      <c r="S21" s="173"/>
      <c r="T21" s="34">
        <f t="shared" si="0"/>
        <v>1</v>
      </c>
      <c r="U21" s="192"/>
    </row>
    <row r="22" spans="1:21" ht="15" customHeight="1">
      <c r="A22" s="173"/>
      <c r="B22" s="173">
        <v>795</v>
      </c>
      <c r="C22" s="7" t="s">
        <v>134</v>
      </c>
      <c r="D22" s="40">
        <v>1140000</v>
      </c>
      <c r="E22" s="39" t="s">
        <v>135</v>
      </c>
      <c r="F22" s="9">
        <v>16507</v>
      </c>
      <c r="G22" s="9">
        <v>6101</v>
      </c>
      <c r="H22" s="9">
        <v>8777</v>
      </c>
      <c r="I22" s="9">
        <v>304690</v>
      </c>
      <c r="J22" s="9">
        <v>228502</v>
      </c>
      <c r="K22" s="9">
        <v>99075</v>
      </c>
      <c r="L22" s="9">
        <v>81712</v>
      </c>
      <c r="M22" s="9">
        <v>352121</v>
      </c>
      <c r="N22" s="9">
        <v>182665</v>
      </c>
      <c r="O22" s="9">
        <v>143972</v>
      </c>
      <c r="P22" s="9">
        <v>203739</v>
      </c>
      <c r="Q22" s="9">
        <v>110540</v>
      </c>
      <c r="R22" s="9">
        <f>+SUM(F22,G22,H22,I22,J22,K22,L22,M22,N22,O22,P22,Q22)</f>
        <v>1738401</v>
      </c>
      <c r="S22" s="173">
        <v>795</v>
      </c>
      <c r="T22" s="34">
        <f>+(1051971+1048011+1680645+1738401)/(D22*3.5)</f>
        <v>1.3832150375939849</v>
      </c>
      <c r="U22" s="192">
        <f>+(T22+T23+T24+T25+T26+T27+T28+T29)/8</f>
        <v>1.1237457764271732</v>
      </c>
    </row>
    <row r="23" spans="1:21" ht="12.75" customHeight="1">
      <c r="A23" s="173"/>
      <c r="B23" s="173"/>
      <c r="C23" s="7" t="s">
        <v>136</v>
      </c>
      <c r="D23" s="40">
        <v>260000</v>
      </c>
      <c r="E23" s="39" t="s">
        <v>137</v>
      </c>
      <c r="F23" s="34"/>
      <c r="G23" s="34"/>
      <c r="H23" s="34"/>
      <c r="I23" s="34"/>
      <c r="J23" s="34"/>
      <c r="K23" s="34"/>
      <c r="L23" s="34"/>
      <c r="M23" s="34"/>
      <c r="N23" s="9">
        <v>17840</v>
      </c>
      <c r="O23" s="9">
        <v>7750</v>
      </c>
      <c r="P23" s="9">
        <v>91610</v>
      </c>
      <c r="Q23" s="9">
        <v>16190</v>
      </c>
      <c r="R23" s="9">
        <f>+SUM(F23,G23,H23,I23,J23,K23,L23,M23,N23,O23,P23,Q23)</f>
        <v>133390</v>
      </c>
      <c r="S23" s="173"/>
      <c r="T23" s="34">
        <f>+(258674+278530+448820+133390)/(D23*3.5)</f>
        <v>1.2301252747252747</v>
      </c>
      <c r="U23" s="192"/>
    </row>
    <row r="24" spans="1:21" ht="12.75" customHeight="1">
      <c r="A24" s="173"/>
      <c r="B24" s="173"/>
      <c r="C24" s="7" t="s">
        <v>138</v>
      </c>
      <c r="D24" s="40">
        <v>10000</v>
      </c>
      <c r="E24" s="39" t="s">
        <v>139</v>
      </c>
      <c r="F24" s="9">
        <v>230</v>
      </c>
      <c r="G24" s="9">
        <v>212</v>
      </c>
      <c r="H24" s="9">
        <v>297</v>
      </c>
      <c r="I24" s="9">
        <v>894</v>
      </c>
      <c r="J24" s="9">
        <v>1773</v>
      </c>
      <c r="K24" s="9">
        <v>1629</v>
      </c>
      <c r="L24" s="9">
        <v>1840</v>
      </c>
      <c r="M24" s="9">
        <v>2627</v>
      </c>
      <c r="N24" s="9">
        <v>2916</v>
      </c>
      <c r="O24" s="9">
        <v>2899</v>
      </c>
      <c r="P24" s="9">
        <v>2137</v>
      </c>
      <c r="Q24" s="9">
        <v>794</v>
      </c>
      <c r="R24" s="9">
        <f>+SUM(F24,G24,H24,I24,J24,K24,L24,M24,N24,O24,P24,Q24)</f>
        <v>18248</v>
      </c>
      <c r="S24" s="173"/>
      <c r="T24" s="34">
        <f>+(9686+9658+14148+18248)/(D24*3.5)</f>
        <v>1.4782857142857142</v>
      </c>
      <c r="U24" s="192"/>
    </row>
    <row r="25" spans="1:21" ht="12.75" customHeight="1">
      <c r="A25" s="173"/>
      <c r="B25" s="173"/>
      <c r="C25" s="7" t="s">
        <v>131</v>
      </c>
      <c r="D25" s="38">
        <v>753</v>
      </c>
      <c r="E25" s="39" t="s">
        <v>140</v>
      </c>
      <c r="F25" s="9">
        <v>0</v>
      </c>
      <c r="G25" s="9">
        <v>0</v>
      </c>
      <c r="H25" s="9">
        <v>6</v>
      </c>
      <c r="I25" s="9">
        <v>67</v>
      </c>
      <c r="J25" s="9">
        <v>72</v>
      </c>
      <c r="K25" s="9">
        <v>168</v>
      </c>
      <c r="L25" s="9">
        <v>241</v>
      </c>
      <c r="M25" s="9">
        <v>78</v>
      </c>
      <c r="N25" s="9">
        <v>87</v>
      </c>
      <c r="O25" s="9">
        <v>30</v>
      </c>
      <c r="P25" s="9">
        <v>2</v>
      </c>
      <c r="Q25" s="9">
        <f>99-69</f>
        <v>30</v>
      </c>
      <c r="R25" s="9">
        <f>+SUM(F25,G25,H25,I25,J25,K25,L25,M25,N25,O25,P25,Q25)</f>
        <v>781</v>
      </c>
      <c r="S25" s="173"/>
      <c r="T25" s="34">
        <f>2535/2486</f>
        <v>1.0197103781174577</v>
      </c>
      <c r="U25" s="192"/>
    </row>
    <row r="26" spans="1:21" ht="12.75" customHeight="1">
      <c r="A26" s="173"/>
      <c r="B26" s="173"/>
      <c r="C26" s="7" t="s">
        <v>141</v>
      </c>
      <c r="D26" s="41">
        <v>0.2</v>
      </c>
      <c r="E26" s="39" t="s">
        <v>142</v>
      </c>
      <c r="F26" s="34"/>
      <c r="G26" s="34"/>
      <c r="H26" s="34"/>
      <c r="I26" s="34"/>
      <c r="J26" s="34"/>
      <c r="K26" s="34">
        <v>0.2</v>
      </c>
      <c r="L26" s="34">
        <v>0.2</v>
      </c>
      <c r="M26" s="34">
        <v>0.2</v>
      </c>
      <c r="N26" s="34">
        <v>0.2</v>
      </c>
      <c r="O26" s="34">
        <v>0.2</v>
      </c>
      <c r="P26" s="34">
        <v>0.2</v>
      </c>
      <c r="Q26" s="34">
        <v>0.2</v>
      </c>
      <c r="R26" s="34">
        <f>MAX(F26,G26,H26,I26,J26,K26,L26,M26,N26,O26,P26,Q26)</f>
        <v>0.2</v>
      </c>
      <c r="S26" s="173"/>
      <c r="T26" s="42">
        <f>+(1.02785)*(1+R26)</f>
        <v>1.23342</v>
      </c>
      <c r="U26" s="192"/>
    </row>
    <row r="27" spans="1:21" ht="12.75" customHeight="1">
      <c r="A27" s="173"/>
      <c r="B27" s="173"/>
      <c r="C27" s="43" t="s">
        <v>143</v>
      </c>
      <c r="D27" s="38">
        <v>85000</v>
      </c>
      <c r="E27" s="39" t="s">
        <v>137</v>
      </c>
      <c r="F27" s="9">
        <v>0</v>
      </c>
      <c r="G27" s="9">
        <v>603</v>
      </c>
      <c r="H27" s="9">
        <v>515</v>
      </c>
      <c r="I27" s="9">
        <v>275</v>
      </c>
      <c r="J27" s="9">
        <v>49857</v>
      </c>
      <c r="K27" s="9">
        <v>3501</v>
      </c>
      <c r="L27" s="9">
        <v>1308</v>
      </c>
      <c r="M27" s="9">
        <v>5676</v>
      </c>
      <c r="N27" s="9">
        <v>16131</v>
      </c>
      <c r="O27" s="9">
        <v>4581</v>
      </c>
      <c r="P27" s="9">
        <v>6689</v>
      </c>
      <c r="Q27" s="9">
        <v>11171</v>
      </c>
      <c r="R27" s="9">
        <f>+SUM(F27,G27,H27,I27,J27,K27,L27,M27,N27,O27,P27,Q27)</f>
        <v>100307</v>
      </c>
      <c r="S27" s="173"/>
      <c r="T27" s="34">
        <f>+(45548+65050+71165+100307)/303000</f>
        <v>0.9309240924092409</v>
      </c>
      <c r="U27" s="192"/>
    </row>
    <row r="28" spans="1:21" ht="12.75" customHeight="1">
      <c r="A28" s="173"/>
      <c r="B28" s="173"/>
      <c r="C28" s="43" t="s">
        <v>144</v>
      </c>
      <c r="D28" s="40">
        <v>10</v>
      </c>
      <c r="E28" s="39" t="s">
        <v>145</v>
      </c>
      <c r="F28" s="9">
        <v>0</v>
      </c>
      <c r="G28" s="9">
        <v>0</v>
      </c>
      <c r="H28" s="9">
        <v>0</v>
      </c>
      <c r="I28" s="9">
        <v>0</v>
      </c>
      <c r="J28" s="9">
        <v>0</v>
      </c>
      <c r="K28" s="9">
        <v>0</v>
      </c>
      <c r="L28" s="9">
        <v>10</v>
      </c>
      <c r="M28" s="9">
        <v>0</v>
      </c>
      <c r="N28" s="9">
        <v>0</v>
      </c>
      <c r="O28" s="9">
        <v>0</v>
      </c>
      <c r="P28" s="9">
        <v>0</v>
      </c>
      <c r="Q28" s="9">
        <v>0</v>
      </c>
      <c r="R28" s="9">
        <f>MAX(F28,G28,H28,I28,J28,K28,L28,M28,N28,O28,P28,Q28)</f>
        <v>10</v>
      </c>
      <c r="S28" s="173"/>
      <c r="T28" s="34">
        <f>+R28/D28</f>
        <v>1</v>
      </c>
      <c r="U28" s="192"/>
    </row>
    <row r="29" spans="1:21" ht="12.75" customHeight="1">
      <c r="A29" s="173"/>
      <c r="B29" s="173"/>
      <c r="C29" s="43" t="s">
        <v>146</v>
      </c>
      <c r="D29" s="40">
        <v>5</v>
      </c>
      <c r="E29" s="39" t="s">
        <v>147</v>
      </c>
      <c r="F29" s="34"/>
      <c r="G29" s="34"/>
      <c r="H29" s="9">
        <v>3</v>
      </c>
      <c r="I29" s="9">
        <v>3</v>
      </c>
      <c r="J29" s="9">
        <v>4</v>
      </c>
      <c r="K29" s="9">
        <v>5</v>
      </c>
      <c r="L29" s="9">
        <v>5</v>
      </c>
      <c r="M29" s="9">
        <v>5</v>
      </c>
      <c r="N29" s="9">
        <v>0</v>
      </c>
      <c r="O29" s="9">
        <v>0</v>
      </c>
      <c r="P29" s="9">
        <v>0</v>
      </c>
      <c r="Q29" s="9">
        <v>5</v>
      </c>
      <c r="R29" s="9">
        <f>MAX(F29,G29,H29,I29,J29,K29,L29,M29,N29,O29,P29,Q29)</f>
        <v>5</v>
      </c>
      <c r="S29" s="173"/>
      <c r="T29" s="34">
        <f>+D29/7</f>
        <v>0.7142857142857143</v>
      </c>
      <c r="U29" s="192"/>
    </row>
    <row r="30" spans="1:21" ht="12.75" customHeight="1">
      <c r="A30" s="173"/>
      <c r="B30" s="173">
        <v>783</v>
      </c>
      <c r="C30" s="43" t="s">
        <v>148</v>
      </c>
      <c r="D30" s="38">
        <v>2</v>
      </c>
      <c r="E30" s="39" t="s">
        <v>149</v>
      </c>
      <c r="F30" s="9">
        <v>2</v>
      </c>
      <c r="G30" s="9">
        <v>2</v>
      </c>
      <c r="H30" s="9">
        <v>2</v>
      </c>
      <c r="I30" s="9">
        <v>2</v>
      </c>
      <c r="J30" s="9">
        <v>2</v>
      </c>
      <c r="K30" s="9">
        <v>2</v>
      </c>
      <c r="L30" s="9">
        <v>2</v>
      </c>
      <c r="M30" s="9">
        <v>2</v>
      </c>
      <c r="N30" s="9">
        <v>2</v>
      </c>
      <c r="O30" s="9">
        <v>2</v>
      </c>
      <c r="P30" s="9">
        <v>2</v>
      </c>
      <c r="Q30" s="9">
        <v>2</v>
      </c>
      <c r="R30" s="9">
        <f>MAX(F30,G30,H30,I30,J30,K30,L30,M30,N30,O30,P30,Q30)</f>
        <v>2</v>
      </c>
      <c r="S30" s="173">
        <v>783</v>
      </c>
      <c r="T30" s="34">
        <f>+R30/D30</f>
        <v>1</v>
      </c>
      <c r="U30" s="192">
        <f>+(T30+T31+T32+T33+T34)/5</f>
        <v>1.2951841360544218</v>
      </c>
    </row>
    <row r="31" spans="1:21" ht="12.75" customHeight="1">
      <c r="A31" s="173"/>
      <c r="B31" s="173"/>
      <c r="C31" s="7" t="s">
        <v>150</v>
      </c>
      <c r="D31" s="44">
        <v>0.4</v>
      </c>
      <c r="E31" s="39" t="s">
        <v>151</v>
      </c>
      <c r="F31" s="34">
        <v>0</v>
      </c>
      <c r="G31" s="34">
        <v>0</v>
      </c>
      <c r="H31" s="34">
        <v>0.316</v>
      </c>
      <c r="I31" s="34">
        <v>0.3271</v>
      </c>
      <c r="J31" s="34">
        <v>0.3372</v>
      </c>
      <c r="K31" s="34">
        <v>0.3407</v>
      </c>
      <c r="L31" s="34">
        <v>0.3402</v>
      </c>
      <c r="M31" s="34">
        <v>0.3478</v>
      </c>
      <c r="N31" s="34">
        <v>0.35</v>
      </c>
      <c r="O31" s="34">
        <v>0.37</v>
      </c>
      <c r="P31" s="34">
        <v>0.37</v>
      </c>
      <c r="Q31" s="34">
        <v>0.375</v>
      </c>
      <c r="R31" s="34">
        <f>MAX(F31,G31,H31,I31,J31,K31,L31,M31,N31,O31,P31,Q31)</f>
        <v>0.375</v>
      </c>
      <c r="S31" s="173"/>
      <c r="T31" s="34">
        <f>+R31/D31</f>
        <v>0.9375</v>
      </c>
      <c r="U31" s="192"/>
    </row>
    <row r="32" spans="1:21" ht="49.7" customHeight="1">
      <c r="A32" s="173"/>
      <c r="B32" s="173"/>
      <c r="C32" s="43" t="s">
        <v>152</v>
      </c>
      <c r="D32" s="38">
        <v>300000</v>
      </c>
      <c r="E32" s="39" t="s">
        <v>137</v>
      </c>
      <c r="F32" s="9">
        <v>29366</v>
      </c>
      <c r="G32" s="9">
        <v>19875</v>
      </c>
      <c r="H32" s="9">
        <v>36068</v>
      </c>
      <c r="I32" s="9">
        <v>32406</v>
      </c>
      <c r="J32" s="9">
        <v>29763</v>
      </c>
      <c r="K32" s="9">
        <v>41984</v>
      </c>
      <c r="L32" s="9">
        <v>43561</v>
      </c>
      <c r="M32" s="9">
        <v>43574</v>
      </c>
      <c r="N32" s="9">
        <v>33375</v>
      </c>
      <c r="O32" s="9">
        <v>50811</v>
      </c>
      <c r="P32" s="9">
        <v>28019</v>
      </c>
      <c r="Q32" s="9">
        <v>28949</v>
      </c>
      <c r="R32" s="9">
        <f>+SUM(F32,G32,H32,I32,J32,K32,L32,M32,N32,O32,P32,Q32)</f>
        <v>417751</v>
      </c>
      <c r="S32" s="173"/>
      <c r="T32" s="34">
        <f>+R32/D32</f>
        <v>1.3925033333333334</v>
      </c>
      <c r="U32" s="192"/>
    </row>
    <row r="33" spans="1:21" ht="12.75" customHeight="1">
      <c r="A33" s="173"/>
      <c r="B33" s="173"/>
      <c r="C33" s="43" t="s">
        <v>153</v>
      </c>
      <c r="D33" s="38">
        <v>280000</v>
      </c>
      <c r="E33" s="39" t="s">
        <v>137</v>
      </c>
      <c r="F33" s="9">
        <v>5811</v>
      </c>
      <c r="G33" s="9">
        <v>15196</v>
      </c>
      <c r="H33" s="9">
        <v>18669</v>
      </c>
      <c r="I33" s="9">
        <v>85315</v>
      </c>
      <c r="J33" s="9">
        <v>52353</v>
      </c>
      <c r="K33" s="9">
        <v>31566</v>
      </c>
      <c r="L33" s="9">
        <v>45581</v>
      </c>
      <c r="M33" s="9">
        <v>44789</v>
      </c>
      <c r="N33" s="9">
        <v>48919</v>
      </c>
      <c r="O33" s="9">
        <v>44770</v>
      </c>
      <c r="P33" s="9">
        <v>53737</v>
      </c>
      <c r="Q33" s="9">
        <v>43517</v>
      </c>
      <c r="R33" s="9">
        <f>+SUM(F33,G33,H33,I33,J33,K33,L33,M33,N33,O33,P33,Q33)</f>
        <v>490223</v>
      </c>
      <c r="S33" s="173"/>
      <c r="T33" s="34">
        <f>+(277543+489625+437144+490223)/(D33*3.5)</f>
        <v>1.7291173469387755</v>
      </c>
      <c r="U33" s="192"/>
    </row>
    <row r="34" spans="1:21" ht="12.75" customHeight="1">
      <c r="A34" s="173"/>
      <c r="B34" s="173"/>
      <c r="C34" s="7" t="s">
        <v>138</v>
      </c>
      <c r="D34" s="38">
        <v>2500</v>
      </c>
      <c r="E34" s="39" t="s">
        <v>154</v>
      </c>
      <c r="F34" s="9">
        <v>160</v>
      </c>
      <c r="G34" s="9">
        <v>206</v>
      </c>
      <c r="H34" s="9">
        <v>387</v>
      </c>
      <c r="I34" s="9">
        <v>349</v>
      </c>
      <c r="J34" s="9">
        <v>403</v>
      </c>
      <c r="K34" s="9">
        <v>515</v>
      </c>
      <c r="L34" s="9">
        <v>549</v>
      </c>
      <c r="M34" s="9">
        <v>492</v>
      </c>
      <c r="N34" s="9">
        <v>478</v>
      </c>
      <c r="O34" s="9">
        <v>551</v>
      </c>
      <c r="P34" s="9">
        <v>470</v>
      </c>
      <c r="Q34" s="9">
        <v>552</v>
      </c>
      <c r="R34" s="9">
        <f>+SUM(F34,G34,H34,I34,J34,K34,L34,M34,N34,O34,P34,Q34)</f>
        <v>5112</v>
      </c>
      <c r="S34" s="173"/>
      <c r="T34" s="34">
        <f>+(688+2846+3751+R34)/(D34*3.5)</f>
        <v>1.4168000000000001</v>
      </c>
      <c r="U34" s="192"/>
    </row>
    <row r="35" spans="1:21" ht="12.75" customHeight="1">
      <c r="A35" s="173"/>
      <c r="B35" s="173">
        <v>792</v>
      </c>
      <c r="C35" s="7" t="s">
        <v>155</v>
      </c>
      <c r="D35" s="40">
        <v>8</v>
      </c>
      <c r="E35" s="39" t="s">
        <v>156</v>
      </c>
      <c r="F35" s="9">
        <v>8</v>
      </c>
      <c r="G35" s="9">
        <v>8</v>
      </c>
      <c r="H35" s="9">
        <v>8</v>
      </c>
      <c r="I35" s="9">
        <v>8</v>
      </c>
      <c r="J35" s="9">
        <v>8</v>
      </c>
      <c r="K35" s="9">
        <v>8</v>
      </c>
      <c r="L35" s="9">
        <v>8</v>
      </c>
      <c r="M35" s="9">
        <v>8</v>
      </c>
      <c r="N35" s="9">
        <v>8</v>
      </c>
      <c r="O35" s="9">
        <v>8</v>
      </c>
      <c r="P35" s="9">
        <v>8</v>
      </c>
      <c r="Q35" s="9">
        <v>8</v>
      </c>
      <c r="R35" s="9">
        <f>MAX(F35,G35,H35,I35,J35,K35,L35,M35,N35,O35,P35,Q35)</f>
        <v>8</v>
      </c>
      <c r="S35" s="173">
        <v>792</v>
      </c>
      <c r="T35" s="34">
        <f>+R35/D35</f>
        <v>1</v>
      </c>
      <c r="U35" s="192">
        <f>+(T35+T36+T37+T38)/4</f>
        <v>0.75</v>
      </c>
    </row>
    <row r="36" spans="1:21" ht="12.75" customHeight="1">
      <c r="A36" s="173"/>
      <c r="B36" s="173"/>
      <c r="C36" s="7" t="s">
        <v>155</v>
      </c>
      <c r="D36" s="40">
        <v>2</v>
      </c>
      <c r="E36" s="39" t="s">
        <v>157</v>
      </c>
      <c r="F36" s="9">
        <v>2</v>
      </c>
      <c r="G36" s="9">
        <v>2</v>
      </c>
      <c r="H36" s="9">
        <v>2</v>
      </c>
      <c r="I36" s="9">
        <v>2</v>
      </c>
      <c r="J36" s="9">
        <v>2</v>
      </c>
      <c r="K36" s="9">
        <v>2</v>
      </c>
      <c r="L36" s="9">
        <v>2</v>
      </c>
      <c r="M36" s="9">
        <v>2</v>
      </c>
      <c r="N36" s="9">
        <v>2</v>
      </c>
      <c r="O36" s="9">
        <v>2</v>
      </c>
      <c r="P36" s="9">
        <v>2</v>
      </c>
      <c r="Q36" s="9">
        <v>2</v>
      </c>
      <c r="R36" s="9">
        <f>MAX(F36,G36,H36,I36,J36,K36,L36,M36,N36,O36,P36,Q36)</f>
        <v>2</v>
      </c>
      <c r="S36" s="173"/>
      <c r="T36" s="34">
        <f>+R36/D36</f>
        <v>1</v>
      </c>
      <c r="U36" s="192"/>
    </row>
    <row r="37" spans="1:21" ht="12.75" customHeight="1">
      <c r="A37" s="173"/>
      <c r="B37" s="173"/>
      <c r="C37" s="7" t="s">
        <v>158</v>
      </c>
      <c r="D37" s="44">
        <v>0.5</v>
      </c>
      <c r="E37" s="39" t="s">
        <v>159</v>
      </c>
      <c r="F37" s="34">
        <v>0</v>
      </c>
      <c r="G37" s="34">
        <v>0</v>
      </c>
      <c r="H37" s="34">
        <v>0.25</v>
      </c>
      <c r="I37" s="34">
        <v>0.25</v>
      </c>
      <c r="J37" s="34">
        <v>0.25</v>
      </c>
      <c r="K37" s="34">
        <v>0.25</v>
      </c>
      <c r="L37" s="34">
        <v>0.25</v>
      </c>
      <c r="M37" s="34">
        <v>0.25</v>
      </c>
      <c r="N37" s="34">
        <v>0.25</v>
      </c>
      <c r="O37" s="34">
        <v>0.30000000000000004</v>
      </c>
      <c r="P37" s="34">
        <v>0.30000000000000004</v>
      </c>
      <c r="Q37" s="34">
        <v>0.30000000000000004</v>
      </c>
      <c r="R37" s="34">
        <f>MAX(F37,G37,H37,I37,J37,K37,L37,M37,N37,O37,P37,Q37)</f>
        <v>0.30000000000000004</v>
      </c>
      <c r="S37" s="173"/>
      <c r="T37" s="34">
        <f>+R37/D37</f>
        <v>0.60000000000000009</v>
      </c>
      <c r="U37" s="192"/>
    </row>
    <row r="38" spans="1:21" ht="12.75" customHeight="1">
      <c r="A38" s="173"/>
      <c r="B38" s="173"/>
      <c r="C38" s="43" t="s">
        <v>160</v>
      </c>
      <c r="D38" s="40">
        <v>1</v>
      </c>
      <c r="E38" s="39" t="s">
        <v>161</v>
      </c>
      <c r="F38" s="34">
        <v>0</v>
      </c>
      <c r="G38" s="34">
        <v>0</v>
      </c>
      <c r="H38" s="34">
        <v>0</v>
      </c>
      <c r="I38" s="34">
        <v>0</v>
      </c>
      <c r="J38" s="34">
        <v>0</v>
      </c>
      <c r="K38" s="34">
        <v>0.2</v>
      </c>
      <c r="L38" s="34">
        <v>0.2</v>
      </c>
      <c r="M38" s="34">
        <v>0.2</v>
      </c>
      <c r="N38" s="34">
        <v>0.4</v>
      </c>
      <c r="O38" s="34">
        <v>0.4</v>
      </c>
      <c r="P38" s="34">
        <v>0.4</v>
      </c>
      <c r="Q38" s="34">
        <v>0.4</v>
      </c>
      <c r="R38" s="34">
        <f>MAX(F38,G38,H38,I38,J38,K38,L38,M38,N38,O38,P38,Q38)</f>
        <v>0.4</v>
      </c>
      <c r="S38" s="173"/>
      <c r="T38" s="34">
        <f>+R38/D38</f>
        <v>0.4</v>
      </c>
      <c r="U38" s="192"/>
    </row>
    <row r="39" spans="1:21" ht="12.75" customHeight="1">
      <c r="A39" s="173"/>
      <c r="B39" s="7">
        <v>787</v>
      </c>
      <c r="C39" s="7" t="s">
        <v>162</v>
      </c>
      <c r="D39" s="40">
        <v>1</v>
      </c>
      <c r="E39" s="39" t="s">
        <v>163</v>
      </c>
      <c r="F39" s="9">
        <v>0</v>
      </c>
      <c r="G39" s="9">
        <v>0</v>
      </c>
      <c r="H39" s="9">
        <v>0</v>
      </c>
      <c r="I39" s="9">
        <v>0</v>
      </c>
      <c r="J39" s="9">
        <v>0</v>
      </c>
      <c r="K39" s="45">
        <v>1</v>
      </c>
      <c r="L39" s="45">
        <v>0</v>
      </c>
      <c r="M39" s="45">
        <v>0</v>
      </c>
      <c r="N39" s="45">
        <v>1</v>
      </c>
      <c r="O39" s="45">
        <v>1</v>
      </c>
      <c r="P39" s="45">
        <v>1</v>
      </c>
      <c r="Q39" s="45">
        <v>1</v>
      </c>
      <c r="R39" s="45">
        <v>1</v>
      </c>
      <c r="S39" s="7">
        <v>787</v>
      </c>
      <c r="T39" s="34">
        <f>5/6</f>
        <v>0.83333333333333337</v>
      </c>
      <c r="U39" s="34">
        <f>+T39</f>
        <v>0.83333333333333337</v>
      </c>
    </row>
    <row r="40" spans="1:21" ht="12.75" customHeight="1">
      <c r="A40" s="173"/>
      <c r="B40" s="173">
        <v>944</v>
      </c>
      <c r="C40" s="7" t="s">
        <v>164</v>
      </c>
      <c r="D40" s="40">
        <v>6</v>
      </c>
      <c r="E40" s="39" t="s">
        <v>165</v>
      </c>
      <c r="F40" s="9">
        <v>0</v>
      </c>
      <c r="G40" s="9">
        <v>2</v>
      </c>
      <c r="H40" s="9">
        <v>2</v>
      </c>
      <c r="I40" s="9">
        <v>2</v>
      </c>
      <c r="J40" s="9">
        <v>3</v>
      </c>
      <c r="K40" s="9">
        <v>4</v>
      </c>
      <c r="L40" s="9">
        <v>4</v>
      </c>
      <c r="M40" s="9">
        <v>5</v>
      </c>
      <c r="N40" s="9">
        <v>5</v>
      </c>
      <c r="O40" s="9">
        <v>5</v>
      </c>
      <c r="P40" s="9">
        <v>6</v>
      </c>
      <c r="Q40" s="9">
        <v>6</v>
      </c>
      <c r="R40" s="9">
        <f>MAX(F40,G40,H40,I40,J40,K40,L40,M40,N40,O40,P40,Q40)</f>
        <v>6</v>
      </c>
      <c r="S40" s="173">
        <v>944</v>
      </c>
      <c r="T40" s="34">
        <f>+R40/D40</f>
        <v>1</v>
      </c>
      <c r="U40" s="192">
        <f>+T40</f>
        <v>1</v>
      </c>
    </row>
    <row r="41" spans="1:21" ht="12.75" customHeight="1">
      <c r="A41" s="173"/>
      <c r="B41" s="173"/>
      <c r="C41" s="7" t="s">
        <v>166</v>
      </c>
      <c r="D41" s="38">
        <v>2800</v>
      </c>
      <c r="E41" s="39" t="s">
        <v>137</v>
      </c>
      <c r="F41" s="9">
        <v>0</v>
      </c>
      <c r="G41" s="9">
        <v>0</v>
      </c>
      <c r="H41" s="9">
        <v>0</v>
      </c>
      <c r="I41" s="9">
        <v>0</v>
      </c>
      <c r="J41" s="9">
        <v>0</v>
      </c>
      <c r="K41" s="9">
        <f>9+21</f>
        <v>30</v>
      </c>
      <c r="L41" s="9">
        <v>0</v>
      </c>
      <c r="M41" s="9">
        <v>0</v>
      </c>
      <c r="N41" s="9">
        <v>0</v>
      </c>
      <c r="O41" s="9">
        <v>0</v>
      </c>
      <c r="P41" s="9">
        <v>0</v>
      </c>
      <c r="Q41" s="9">
        <v>0</v>
      </c>
      <c r="R41" s="9" t="s">
        <v>167</v>
      </c>
      <c r="S41" s="173"/>
      <c r="T41" s="34">
        <v>0</v>
      </c>
      <c r="U41" s="192"/>
    </row>
    <row r="42" spans="1:21" ht="12.75" customHeight="1">
      <c r="A42" s="173"/>
      <c r="B42" s="173"/>
      <c r="C42" s="7" t="s">
        <v>168</v>
      </c>
      <c r="D42" s="40">
        <v>1</v>
      </c>
      <c r="E42" s="39" t="s">
        <v>169</v>
      </c>
      <c r="F42" s="9">
        <v>0</v>
      </c>
      <c r="G42" s="9">
        <v>0</v>
      </c>
      <c r="H42" s="9">
        <v>0</v>
      </c>
      <c r="I42" s="9">
        <v>0</v>
      </c>
      <c r="J42" s="9">
        <v>0</v>
      </c>
      <c r="K42" s="9">
        <v>0</v>
      </c>
      <c r="L42" s="9">
        <v>0</v>
      </c>
      <c r="M42" s="9">
        <v>0</v>
      </c>
      <c r="N42" s="9">
        <v>0</v>
      </c>
      <c r="O42" s="9">
        <v>0</v>
      </c>
      <c r="P42" s="9">
        <v>0</v>
      </c>
      <c r="Q42" s="9">
        <v>0</v>
      </c>
      <c r="R42" s="9" t="s">
        <v>167</v>
      </c>
      <c r="S42" s="173"/>
      <c r="T42" s="34">
        <v>0</v>
      </c>
      <c r="U42" s="192"/>
    </row>
    <row r="43" spans="1:21" ht="12.75" customHeight="1">
      <c r="A43" s="173"/>
      <c r="B43" s="173">
        <v>784</v>
      </c>
      <c r="C43" s="7" t="s">
        <v>170</v>
      </c>
      <c r="D43" s="40">
        <v>1</v>
      </c>
      <c r="E43" s="39" t="s">
        <v>171</v>
      </c>
      <c r="F43" s="9">
        <v>1</v>
      </c>
      <c r="G43" s="9">
        <v>1</v>
      </c>
      <c r="H43" s="9">
        <v>1</v>
      </c>
      <c r="I43" s="9">
        <v>1</v>
      </c>
      <c r="J43" s="9">
        <v>1</v>
      </c>
      <c r="K43" s="9">
        <v>1</v>
      </c>
      <c r="L43" s="9">
        <v>1</v>
      </c>
      <c r="M43" s="9">
        <v>1</v>
      </c>
      <c r="N43" s="9">
        <v>1</v>
      </c>
      <c r="O43" s="9">
        <v>1</v>
      </c>
      <c r="P43" s="9">
        <v>1</v>
      </c>
      <c r="Q43" s="9">
        <v>1</v>
      </c>
      <c r="R43" s="9">
        <f>MAX(F43,G43,H43,I43,J43,K43,L43,M43,N43,O43,P43,Q43)</f>
        <v>1</v>
      </c>
      <c r="S43" s="173">
        <v>784</v>
      </c>
      <c r="T43" s="34">
        <f>+R43/D43</f>
        <v>1</v>
      </c>
      <c r="U43" s="192">
        <f>+(T43+T44+T45)/3</f>
        <v>0.82500000000000007</v>
      </c>
    </row>
    <row r="44" spans="1:21" ht="12.75" customHeight="1">
      <c r="A44" s="173"/>
      <c r="B44" s="173"/>
      <c r="C44" s="7" t="s">
        <v>172</v>
      </c>
      <c r="D44" s="38">
        <v>2</v>
      </c>
      <c r="E44" s="39" t="s">
        <v>173</v>
      </c>
      <c r="F44" s="9">
        <v>1</v>
      </c>
      <c r="G44" s="9">
        <v>1</v>
      </c>
      <c r="H44" s="9">
        <v>1</v>
      </c>
      <c r="I44" s="9">
        <v>1</v>
      </c>
      <c r="J44" s="9">
        <v>1</v>
      </c>
      <c r="K44" s="9">
        <v>1</v>
      </c>
      <c r="L44" s="9">
        <v>1</v>
      </c>
      <c r="M44" s="9">
        <v>1</v>
      </c>
      <c r="N44" s="9">
        <v>1</v>
      </c>
      <c r="O44" s="9">
        <v>1</v>
      </c>
      <c r="P44" s="9">
        <v>1</v>
      </c>
      <c r="Q44" s="9">
        <v>1</v>
      </c>
      <c r="R44" s="9">
        <f>MAX(F44,G44,H44,I44,J44,K44,L44,M44,N44,O44,P44,Q44)</f>
        <v>1</v>
      </c>
      <c r="S44" s="173"/>
      <c r="T44" s="34">
        <f>+R44/D44</f>
        <v>0.5</v>
      </c>
      <c r="U44" s="192"/>
    </row>
    <row r="45" spans="1:21" ht="12.75" customHeight="1">
      <c r="A45" s="173"/>
      <c r="B45" s="173"/>
      <c r="C45" s="7" t="s">
        <v>174</v>
      </c>
      <c r="D45" s="44">
        <v>0.8</v>
      </c>
      <c r="E45" s="39" t="s">
        <v>175</v>
      </c>
      <c r="F45" s="34">
        <v>0</v>
      </c>
      <c r="G45" s="34">
        <v>0</v>
      </c>
      <c r="H45" s="34">
        <v>0.62</v>
      </c>
      <c r="I45" s="34">
        <v>0.62</v>
      </c>
      <c r="J45" s="34">
        <v>0.62</v>
      </c>
      <c r="K45" s="34">
        <v>0.68149999999999999</v>
      </c>
      <c r="L45" s="34">
        <v>0</v>
      </c>
      <c r="M45" s="34">
        <v>0</v>
      </c>
      <c r="N45" s="34">
        <v>0.71399999999999997</v>
      </c>
      <c r="O45" s="34">
        <v>0.71140000000000003</v>
      </c>
      <c r="P45" s="34">
        <v>0.71399999999999997</v>
      </c>
      <c r="Q45" s="34">
        <v>0.78</v>
      </c>
      <c r="R45" s="34">
        <f>MAX(F45,G45,H45,I45,J45,K45,L45,M45,N45,O45,P45,Q45)</f>
        <v>0.78</v>
      </c>
      <c r="S45" s="173"/>
      <c r="T45" s="34">
        <f>+R45/D45</f>
        <v>0.97499999999999998</v>
      </c>
      <c r="U45" s="192"/>
    </row>
    <row r="46" spans="1:21" ht="12.75" customHeight="1">
      <c r="A46" s="173"/>
      <c r="B46" s="173">
        <v>794</v>
      </c>
      <c r="C46" s="7" t="s">
        <v>134</v>
      </c>
      <c r="D46" s="38">
        <v>1000000</v>
      </c>
      <c r="E46" s="39" t="s">
        <v>176</v>
      </c>
      <c r="F46" s="9">
        <v>1010300</v>
      </c>
      <c r="G46" s="9">
        <v>1010300</v>
      </c>
      <c r="H46" s="9">
        <v>1049018</v>
      </c>
      <c r="I46" s="9">
        <v>1084387</v>
      </c>
      <c r="J46" s="9">
        <v>1115045</v>
      </c>
      <c r="K46" s="9">
        <v>1156058</v>
      </c>
      <c r="L46" s="9">
        <v>1196407</v>
      </c>
      <c r="M46" s="9">
        <v>1202800</v>
      </c>
      <c r="N46" s="9">
        <v>1264780</v>
      </c>
      <c r="O46" s="9">
        <v>1307239</v>
      </c>
      <c r="P46" s="9">
        <v>1352792</v>
      </c>
      <c r="Q46" s="9">
        <v>1368800</v>
      </c>
      <c r="R46" s="9">
        <f>MAX(F46,G46,H46,I46,J46,K46,L46,M46,N46,O46,P46,Q46)</f>
        <v>1368800</v>
      </c>
      <c r="S46" s="173">
        <v>794</v>
      </c>
      <c r="T46" s="34">
        <f>+(8332+615155+986126+1368800)/(D46*3.5)</f>
        <v>0.85097514285714282</v>
      </c>
      <c r="U46" s="192">
        <f>+(T46+T47+T48)/3</f>
        <v>1.0768012380952381</v>
      </c>
    </row>
    <row r="47" spans="1:21" ht="12.75" customHeight="1">
      <c r="A47" s="173"/>
      <c r="B47" s="173"/>
      <c r="C47" s="7" t="s">
        <v>134</v>
      </c>
      <c r="D47" s="38">
        <v>3000</v>
      </c>
      <c r="E47" s="39" t="s">
        <v>177</v>
      </c>
      <c r="F47" s="9">
        <v>73</v>
      </c>
      <c r="G47" s="9">
        <v>87</v>
      </c>
      <c r="H47" s="9">
        <v>146</v>
      </c>
      <c r="I47" s="9">
        <v>130</v>
      </c>
      <c r="J47" s="9">
        <v>332</v>
      </c>
      <c r="K47" s="9">
        <v>466</v>
      </c>
      <c r="L47" s="9">
        <v>430</v>
      </c>
      <c r="M47" s="9">
        <v>1189</v>
      </c>
      <c r="N47" s="9">
        <v>871</v>
      </c>
      <c r="O47" s="9">
        <v>878</v>
      </c>
      <c r="P47" s="9">
        <v>836</v>
      </c>
      <c r="Q47" s="9">
        <v>644</v>
      </c>
      <c r="R47" s="9">
        <f>+SUM(F47,G47,H47,I47,J47,K47,L47,M47,N47,O47,P47,Q47)</f>
        <v>6082</v>
      </c>
      <c r="S47" s="173"/>
      <c r="T47" s="34">
        <f>+(1852+2855+3695+6082)/(D47*3.5)</f>
        <v>1.3794285714285714</v>
      </c>
      <c r="U47" s="192"/>
    </row>
    <row r="48" spans="1:21" ht="12.75" customHeight="1">
      <c r="A48" s="173"/>
      <c r="B48" s="173"/>
      <c r="C48" s="7" t="s">
        <v>178</v>
      </c>
      <c r="D48" s="38">
        <v>1</v>
      </c>
      <c r="E48" s="39" t="s">
        <v>179</v>
      </c>
      <c r="F48" s="9">
        <v>1</v>
      </c>
      <c r="G48" s="9">
        <v>1</v>
      </c>
      <c r="H48" s="9">
        <v>1</v>
      </c>
      <c r="I48" s="9">
        <v>1</v>
      </c>
      <c r="J48" s="9">
        <v>1</v>
      </c>
      <c r="K48" s="9">
        <v>1</v>
      </c>
      <c r="L48" s="9">
        <v>1</v>
      </c>
      <c r="M48" s="9">
        <v>1</v>
      </c>
      <c r="N48" s="9">
        <v>1</v>
      </c>
      <c r="O48" s="9">
        <v>1</v>
      </c>
      <c r="P48" s="9">
        <v>1</v>
      </c>
      <c r="Q48" s="9">
        <v>1</v>
      </c>
      <c r="R48" s="9">
        <f>MAX(F48,G48,H48,I48,J48,K48,L48,M48,N48,O48,P48,Q48)</f>
        <v>1</v>
      </c>
      <c r="S48" s="173"/>
      <c r="T48" s="34">
        <f>+R48/D48</f>
        <v>1</v>
      </c>
      <c r="U48" s="192"/>
    </row>
    <row r="49" spans="1:21" ht="12.75" customHeight="1">
      <c r="A49" s="173"/>
      <c r="B49" s="173" t="s">
        <v>180</v>
      </c>
      <c r="C49" s="173"/>
      <c r="D49" s="173"/>
      <c r="E49" s="173"/>
      <c r="F49" s="46"/>
      <c r="G49" s="46"/>
      <c r="H49" s="46"/>
      <c r="I49" s="46"/>
      <c r="J49" s="46"/>
      <c r="K49" s="46"/>
      <c r="L49" s="46"/>
      <c r="M49" s="46"/>
      <c r="N49" s="46"/>
      <c r="O49" s="46">
        <f>+(O15/D15+O16/D16+O17/D17+O18/D18+O19/D19+O20/D20+O21/$D$21+O22/$D$22+O23/$D$23+O24/$D$24+O25/$D$25+O26/$D$26+O27/$D$27+O28/$D$28+O29/$D$29+O30/$D$30+O31/$D$31+O32/$D$32+O33/$D$33+O34/$D$34+O35/$D$35+O36/$D$36+O37/$D$37+O38/$D$38+O39/$D$39+O40/$D$40+O41/$D$41+O42/$D$42+O43/$D$43+O44/$D$44+O45/$D$45+O46/$D$46+O47/$D$47+O48/$D$48)/34</f>
        <v>0.5413114507218465</v>
      </c>
      <c r="P49" s="46">
        <f>+(P15/$D$15+P16/$D$16+P17/$D$17+P18/$D$18+P19/$D$19+P20/$D$20+P21/$D$21+P22/$D$22+P23/$D$23+P24/$D$24+P25/$D$25+P26/$D$26+P27/$D$27+P28/$D$28+P29/$D$29+P30/$D$30+P31/$D$31+P32/$D$32+P33/$D$33+P34/$D$34+P35/$D$35+P36/$D$36+P37/$D$37+P38/$D$38+P39/$D$39+P40/$D$40+P41/$D$41+P42/$D$42+P43/$D$43+P44/$D$44+P45/$D$45+P46/$D$46+P47/$D$47+P48/$D$48)/34</f>
        <v>0.53558128920927395</v>
      </c>
      <c r="Q49" s="46">
        <f>+(Q15/$D$15+Q16/$D$16+Q17/$D$17+Q18/$D$18+Q19/$D$19+Q20/$D$20+Q21/$D$21+Q22/$D$22+Q23/$D$23+Q24/$D$24+Q25/$D$25+Q26/$D$26+Q27/$D$27+Q28/$D$28+Q29/$D$29+Q30/$D$30+Q31/$D$31+Q32/$D$32+Q33/$D$33+Q34/$D$34+Q35/$D$35+Q36/$D$36+Q37/$D$37+Q38/$D$38+Q39/$D$39+Q40/$D$40+Q41/$D$41+Q42/$D$42+Q43/$D$43+Q44/$D$44+Q45/$D$45+Q46/$D$46+Q47/$D$47+Q48/$D$48)/34</f>
        <v>0.55233532529878238</v>
      </c>
      <c r="R49" s="46" t="e">
        <f>+(R15/$D$15+R16/$D$16+R17/$D$17+R18/$D$18+R19/$D$19+R20/$D$20+R21/$D$21+R22/$D$22+R23/$D$23+R24/$D$24+R25/$D$25+R26/$D$26+R27/$D$27+R28/$D$28+R29/$D$29+R30/$D$30+R31/$D$31+R32/$D$32+R33/$D$33+R34/$D$34+R35/$D$35+R36/$D$36+R37/$D$37+R38/$D$38+R39/$D$39+R40/$D$40+R41/$D$41+R42/$D$42+R43/$D$43+R44/$D$44+R45/$D$45+R46/$D$46+R47/$D$47+R48/$D$48)/34</f>
        <v>#VALUE!</v>
      </c>
      <c r="S49" s="191">
        <f>SUM(T15:T48)/34</f>
        <v>0.96525820095330539</v>
      </c>
      <c r="T49" s="191"/>
      <c r="U49" s="191"/>
    </row>
    <row r="50" spans="1:21" ht="12.75" customHeight="1">
      <c r="A50" s="173"/>
      <c r="B50" s="173" t="s">
        <v>181</v>
      </c>
      <c r="C50" s="173"/>
      <c r="D50" s="173"/>
      <c r="E50" s="173"/>
      <c r="F50" s="46">
        <f>+F49</f>
        <v>0</v>
      </c>
      <c r="G50" s="46">
        <f t="shared" ref="G50:N50" si="1">+F49+G49</f>
        <v>0</v>
      </c>
      <c r="H50" s="46">
        <f t="shared" si="1"/>
        <v>0</v>
      </c>
      <c r="I50" s="46">
        <f t="shared" si="1"/>
        <v>0</v>
      </c>
      <c r="J50" s="46">
        <f t="shared" si="1"/>
        <v>0</v>
      </c>
      <c r="K50" s="46">
        <f t="shared" si="1"/>
        <v>0</v>
      </c>
      <c r="L50" s="46">
        <f t="shared" si="1"/>
        <v>0</v>
      </c>
      <c r="M50" s="46">
        <f t="shared" si="1"/>
        <v>0</v>
      </c>
      <c r="N50" s="46">
        <f t="shared" si="1"/>
        <v>0</v>
      </c>
      <c r="O50" s="46">
        <f>+O49-N49</f>
        <v>0.5413114507218465</v>
      </c>
      <c r="P50" s="46">
        <f>+P49-O49</f>
        <v>-5.7301615125725514E-3</v>
      </c>
      <c r="Q50" s="46">
        <f>+Q49-P49</f>
        <v>1.6754036089508428E-2</v>
      </c>
      <c r="R50" s="46" t="e">
        <f>+R49-Q49</f>
        <v>#VALUE!</v>
      </c>
      <c r="S50" s="191">
        <f>+(U15+U17+U19+U22+U30+U35+U39+U40+U43+U46)/10</f>
        <v>0.97948561835025583</v>
      </c>
      <c r="T50" s="191"/>
      <c r="U50" s="191"/>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5"/>
    </row>
    <row r="52" spans="1:21" ht="30" customHeight="1">
      <c r="A52" s="175"/>
      <c r="B52" s="175"/>
      <c r="C52" s="175"/>
      <c r="D52" s="175"/>
      <c r="E52" s="175"/>
      <c r="F52" s="175"/>
      <c r="G52" s="175"/>
      <c r="H52" s="175"/>
      <c r="I52" s="175"/>
      <c r="J52" s="175"/>
      <c r="K52" s="175"/>
      <c r="L52" s="175"/>
      <c r="M52" s="175"/>
      <c r="N52" s="176"/>
      <c r="O52" s="176"/>
      <c r="P52" s="176"/>
      <c r="Q52" s="176"/>
      <c r="R52" s="176"/>
      <c r="S52" s="176"/>
      <c r="T52" s="176"/>
      <c r="U52" s="176"/>
    </row>
    <row r="53" spans="1:21" ht="36.6" customHeight="1">
      <c r="A53" s="16"/>
      <c r="B53" s="17"/>
      <c r="C53" s="17"/>
      <c r="D53" s="17"/>
      <c r="E53" s="17"/>
      <c r="F53" s="17"/>
      <c r="G53" s="17"/>
      <c r="H53" s="17"/>
      <c r="I53" s="17"/>
      <c r="J53" s="17"/>
      <c r="K53" s="18"/>
      <c r="L53" s="18"/>
      <c r="M53" s="19"/>
      <c r="N53" s="177" t="s">
        <v>182</v>
      </c>
      <c r="O53" s="177"/>
      <c r="P53" s="177"/>
      <c r="Q53" s="177"/>
      <c r="R53" s="177"/>
      <c r="S53" s="177"/>
      <c r="T53" s="177"/>
      <c r="U53" s="177"/>
    </row>
    <row r="54" spans="1:21" ht="36.6" customHeight="1">
      <c r="A54" s="20"/>
      <c r="B54" s="21"/>
      <c r="C54" s="21"/>
      <c r="D54" s="21"/>
      <c r="E54" s="21"/>
      <c r="F54" s="21"/>
      <c r="G54" s="21"/>
      <c r="H54" s="21"/>
      <c r="I54" s="21"/>
      <c r="J54" s="21"/>
      <c r="K54" s="22"/>
      <c r="L54" s="22"/>
      <c r="M54" s="23"/>
      <c r="N54" s="173" t="s">
        <v>26</v>
      </c>
      <c r="O54" s="173"/>
      <c r="P54" s="173"/>
      <c r="Q54" s="173"/>
      <c r="R54" s="173"/>
      <c r="S54" s="173"/>
      <c r="T54" s="173"/>
      <c r="U54" s="173"/>
    </row>
    <row r="55" spans="1:21" ht="36.6" customHeight="1">
      <c r="A55" s="24"/>
      <c r="B55" s="25"/>
      <c r="C55" s="25"/>
      <c r="D55" s="25"/>
      <c r="E55" s="25"/>
      <c r="F55" s="25"/>
      <c r="G55" s="25"/>
      <c r="H55" s="25"/>
      <c r="I55" s="25"/>
      <c r="J55" s="25"/>
      <c r="K55" s="26"/>
      <c r="L55" s="26"/>
      <c r="M55" s="27"/>
      <c r="N55" s="173" t="s">
        <v>27</v>
      </c>
      <c r="O55" s="173"/>
      <c r="P55" s="173"/>
      <c r="Q55" s="173"/>
      <c r="R55" s="173"/>
      <c r="S55" s="173"/>
      <c r="T55" s="173"/>
      <c r="U55" s="173"/>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S15:S16"/>
    <mergeCell ref="U15:U16"/>
    <mergeCell ref="B17:B18"/>
    <mergeCell ref="S17:S18"/>
    <mergeCell ref="U17:U18"/>
    <mergeCell ref="B19:B21"/>
    <mergeCell ref="S19:S21"/>
    <mergeCell ref="U19:U21"/>
    <mergeCell ref="B22:B29"/>
    <mergeCell ref="S22:S29"/>
    <mergeCell ref="U22:U29"/>
    <mergeCell ref="B30:B34"/>
    <mergeCell ref="S30:S34"/>
    <mergeCell ref="U30:U34"/>
    <mergeCell ref="B35:B38"/>
    <mergeCell ref="S35:S38"/>
    <mergeCell ref="U35:U38"/>
    <mergeCell ref="B40:B42"/>
    <mergeCell ref="S40:S42"/>
    <mergeCell ref="U40:U42"/>
    <mergeCell ref="B43:B45"/>
    <mergeCell ref="S43:S45"/>
    <mergeCell ref="U43:U45"/>
    <mergeCell ref="B46:B48"/>
    <mergeCell ref="S46:S48"/>
    <mergeCell ref="U46:U48"/>
    <mergeCell ref="N53:U53"/>
    <mergeCell ref="N54:U54"/>
    <mergeCell ref="N55:U55"/>
    <mergeCell ref="B49:E49"/>
    <mergeCell ref="S49:U49"/>
    <mergeCell ref="B50:E50"/>
    <mergeCell ref="S50:U50"/>
    <mergeCell ref="A52:M52"/>
    <mergeCell ref="N52:U52"/>
  </mergeCells>
  <dataValidations count="3">
    <dataValidation operator="equal" allowBlank="1" showErrorMessage="1" errorTitle="Seleccionar un valor de la lista" sqref="I15:P22 I23:O25 P24:P48 F26:Q26 I27:P34 F35:P36 O37:Q37 I38:Q38 I39:P48 Q45">
      <formula1>0</formula1>
      <formula2>0</formula2>
    </dataValidation>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10"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7" width="10.7109375" style="1" customWidth="1"/>
    <col min="18" max="18" width="13.140625" style="1" customWidth="1"/>
    <col min="19" max="19" width="12.28515625" style="1" customWidth="1"/>
    <col min="20" max="20" width="10.7109375" style="1" customWidth="1"/>
    <col min="21" max="21" width="12.140625" style="1" customWidth="1"/>
    <col min="22" max="22" width="2.7109375" style="1" customWidth="1"/>
    <col min="23"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c r="U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c r="U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c r="U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c r="U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c r="U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c r="U6" s="179"/>
    </row>
    <row r="7" spans="1:256" s="3" customFormat="1" ht="12.75" customHeight="1">
      <c r="A7" s="180"/>
      <c r="B7" s="180"/>
      <c r="C7" s="180"/>
      <c r="D7" s="180"/>
      <c r="E7" s="180"/>
      <c r="F7" s="180"/>
      <c r="G7" s="180"/>
      <c r="H7" s="180"/>
      <c r="I7" s="180"/>
      <c r="J7" s="180"/>
      <c r="K7" s="180"/>
      <c r="L7" s="180"/>
      <c r="M7" s="180"/>
      <c r="N7" s="180"/>
      <c r="O7" s="180"/>
      <c r="P7" s="180"/>
      <c r="Q7" s="180"/>
      <c r="R7" s="180"/>
      <c r="S7" s="180"/>
      <c r="T7" s="180"/>
      <c r="U7" s="180"/>
    </row>
    <row r="8" spans="1:256" ht="30" customHeight="1">
      <c r="A8" s="174" t="s">
        <v>2</v>
      </c>
      <c r="B8" s="174"/>
      <c r="C8" s="174"/>
      <c r="D8" s="174"/>
      <c r="E8" s="174"/>
      <c r="F8" s="174"/>
      <c r="G8" s="174"/>
      <c r="H8" s="174"/>
      <c r="I8" s="174"/>
      <c r="J8" s="174"/>
      <c r="K8" s="174"/>
      <c r="L8" s="174"/>
      <c r="M8" s="174"/>
      <c r="N8" s="174"/>
      <c r="O8" s="174"/>
      <c r="P8" s="174"/>
      <c r="Q8" s="174"/>
      <c r="R8" s="174"/>
      <c r="S8" s="174"/>
      <c r="T8" s="174"/>
      <c r="U8" s="174"/>
    </row>
    <row r="9" spans="1:256" ht="42" customHeight="1">
      <c r="A9" s="177" t="s">
        <v>3</v>
      </c>
      <c r="B9" s="177"/>
      <c r="C9" s="177"/>
      <c r="D9" s="177"/>
      <c r="E9" s="177"/>
      <c r="F9" s="177"/>
      <c r="G9" s="178" t="s">
        <v>110</v>
      </c>
      <c r="H9" s="178"/>
      <c r="I9" s="178"/>
      <c r="J9" s="178"/>
      <c r="K9" s="178"/>
      <c r="L9" s="178"/>
      <c r="M9" s="177" t="s">
        <v>5</v>
      </c>
      <c r="N9" s="177"/>
      <c r="O9" s="177"/>
      <c r="P9" s="186" t="s">
        <v>111</v>
      </c>
      <c r="Q9" s="186"/>
      <c r="R9" s="186"/>
      <c r="S9" s="186"/>
      <c r="T9" s="186"/>
      <c r="U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c r="T10" s="186"/>
      <c r="U10" s="186"/>
    </row>
    <row r="11" spans="1:256" ht="52.9" customHeight="1">
      <c r="A11" s="177" t="s">
        <v>11</v>
      </c>
      <c r="B11" s="177"/>
      <c r="C11" s="177"/>
      <c r="D11" s="177"/>
      <c r="E11" s="177"/>
      <c r="F11" s="177"/>
      <c r="G11" s="178" t="s">
        <v>112</v>
      </c>
      <c r="H11" s="178"/>
      <c r="I11" s="178"/>
      <c r="J11" s="178"/>
      <c r="K11" s="178"/>
      <c r="L11" s="178"/>
      <c r="M11" s="177" t="s">
        <v>32</v>
      </c>
      <c r="N11" s="177"/>
      <c r="O11" s="177"/>
      <c r="P11" s="186" t="s">
        <v>33</v>
      </c>
      <c r="Q11" s="186"/>
      <c r="R11" s="186"/>
      <c r="S11" s="186"/>
      <c r="T11" s="186"/>
      <c r="U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c r="P13" s="174"/>
      <c r="Q13" s="174"/>
      <c r="R13" s="174"/>
      <c r="S13" s="174"/>
      <c r="T13" s="174"/>
      <c r="U13" s="174"/>
    </row>
    <row r="14" spans="1:256" ht="45" customHeight="1">
      <c r="A14" s="4" t="s">
        <v>53</v>
      </c>
      <c r="B14" s="4" t="s">
        <v>114</v>
      </c>
      <c r="C14" s="6" t="s">
        <v>115</v>
      </c>
      <c r="D14" s="6" t="s">
        <v>116</v>
      </c>
      <c r="E14" s="6" t="s">
        <v>117</v>
      </c>
      <c r="F14" s="6" t="s">
        <v>55</v>
      </c>
      <c r="G14" s="4" t="s">
        <v>56</v>
      </c>
      <c r="H14" s="4" t="s">
        <v>57</v>
      </c>
      <c r="I14" s="4" t="s">
        <v>58</v>
      </c>
      <c r="J14" s="4" t="s">
        <v>59</v>
      </c>
      <c r="K14" s="4" t="s">
        <v>60</v>
      </c>
      <c r="L14" s="4" t="s">
        <v>61</v>
      </c>
      <c r="M14" s="4" t="s">
        <v>62</v>
      </c>
      <c r="N14" s="4" t="s">
        <v>63</v>
      </c>
      <c r="O14" s="4" t="s">
        <v>64</v>
      </c>
      <c r="P14" s="4" t="s">
        <v>65</v>
      </c>
      <c r="Q14" s="4" t="s">
        <v>66</v>
      </c>
      <c r="R14" s="4" t="s">
        <v>118</v>
      </c>
      <c r="S14" s="4" t="s">
        <v>183</v>
      </c>
      <c r="T14" s="4" t="s">
        <v>114</v>
      </c>
      <c r="U14" s="4" t="s">
        <v>184</v>
      </c>
    </row>
    <row r="15" spans="1:256" ht="15" customHeight="1">
      <c r="A15" s="173">
        <v>2015</v>
      </c>
      <c r="B15" s="173">
        <v>914</v>
      </c>
      <c r="C15" s="7" t="s">
        <v>121</v>
      </c>
      <c r="D15" s="38">
        <v>92000</v>
      </c>
      <c r="E15" s="39" t="s">
        <v>122</v>
      </c>
      <c r="F15" s="34">
        <f>+'Seguim Proy inversión 2015'!F15/$D15</f>
        <v>0</v>
      </c>
      <c r="G15" s="34">
        <f>+'Seguim Proy inversión 2015'!G15/$D15</f>
        <v>1.3369565217391305E-3</v>
      </c>
      <c r="H15" s="34">
        <f>+'Seguim Proy inversión 2015'!H15/$D15</f>
        <v>4.667391304347826E-2</v>
      </c>
      <c r="I15" s="34">
        <f>+'Seguim Proy inversión 2015'!I15/$D15</f>
        <v>9.1423913043478258E-2</v>
      </c>
      <c r="J15" s="34">
        <f>+'Seguim Proy inversión 2015'!J15/$D15</f>
        <v>0.21591304347826087</v>
      </c>
      <c r="K15" s="34">
        <f>+'Seguim Proy inversión 2015'!K15/$D15</f>
        <v>0.2708913043478261</v>
      </c>
      <c r="L15" s="34">
        <f>+'Seguim Proy inversión 2015'!L15/$D15</f>
        <v>0.46163043478260868</v>
      </c>
      <c r="M15" s="34">
        <f>+'Seguim Proy inversión 2015'!M15/$D15</f>
        <v>0.54455434782608692</v>
      </c>
      <c r="N15" s="34">
        <f>+'Seguim Proy inversión 2015'!N15/$D15</f>
        <v>0.6226739130434783</v>
      </c>
      <c r="O15" s="34">
        <f>+'Seguim Proy inversión 2015'!O15/$D15</f>
        <v>0.72080434782608693</v>
      </c>
      <c r="P15" s="34">
        <f>+'Seguim Proy inversión 2015'!P15/$D15</f>
        <v>0.79041304347826091</v>
      </c>
      <c r="Q15" s="34">
        <f>+'Seguim Proy inversión 2015'!Q15/$D15</f>
        <v>0.86985869565217389</v>
      </c>
      <c r="R15" s="34">
        <f>MAX(F15,G15,H15,I15,J15,K15,L15,M15,N15,O15,P15,Q15)</f>
        <v>0.86985869565217389</v>
      </c>
      <c r="S15" s="47">
        <v>0.7</v>
      </c>
      <c r="T15" s="173">
        <v>914</v>
      </c>
      <c r="U15" s="194">
        <f>+R15*S15+R16*S16</f>
        <v>0.92765108695652176</v>
      </c>
    </row>
    <row r="16" spans="1:256" ht="28.5" customHeight="1">
      <c r="A16" s="173"/>
      <c r="B16" s="173"/>
      <c r="C16" s="7" t="s">
        <v>123</v>
      </c>
      <c r="D16" s="40">
        <v>80</v>
      </c>
      <c r="E16" s="39" t="s">
        <v>124</v>
      </c>
      <c r="F16" s="34">
        <f>+'Seguim Proy inversión 2015'!F16/$D16</f>
        <v>0</v>
      </c>
      <c r="G16" s="34">
        <f>+'Seguim Proy inversión 2015'!G16/$D16</f>
        <v>0</v>
      </c>
      <c r="H16" s="34">
        <f>+'Seguim Proy inversión 2015'!H16/$D16</f>
        <v>2.5000000000000001E-2</v>
      </c>
      <c r="I16" s="34">
        <f>+'Seguim Proy inversión 2015'!I16/$D16</f>
        <v>1.2500000000000001E-2</v>
      </c>
      <c r="J16" s="34">
        <f>+'Seguim Proy inversión 2015'!J16/$D16</f>
        <v>0</v>
      </c>
      <c r="K16" s="34">
        <f>+'Seguim Proy inversión 2015'!K16/$D16</f>
        <v>0</v>
      </c>
      <c r="L16" s="34">
        <f>+'Seguim Proy inversión 2015'!L16/$D16</f>
        <v>6.25E-2</v>
      </c>
      <c r="M16" s="34">
        <f>+'Seguim Proy inversión 2015'!M16/$D16</f>
        <v>0.1</v>
      </c>
      <c r="N16" s="34">
        <f>+'Seguim Proy inversión 2015'!N16/$D16</f>
        <v>0.625</v>
      </c>
      <c r="O16" s="34">
        <f>+'Seguim Proy inversión 2015'!O16/$D16</f>
        <v>0.82499999999999996</v>
      </c>
      <c r="P16" s="34">
        <f>+'Seguim Proy inversión 2015'!P16/$D16</f>
        <v>1.0625</v>
      </c>
      <c r="Q16" s="34">
        <f>+'Seguim Proy inversión 2015'!Q16/$D16</f>
        <v>1.0625</v>
      </c>
      <c r="R16" s="34">
        <f>MAX(F16,G16,H16,I16,J16,K16,L16,M16,N16,O16,P16,Q16)</f>
        <v>1.0625</v>
      </c>
      <c r="S16" s="47">
        <v>0.30000000000000004</v>
      </c>
      <c r="T16" s="173"/>
      <c r="U16" s="194"/>
    </row>
    <row r="17" spans="1:21" ht="30" customHeight="1">
      <c r="A17" s="173"/>
      <c r="B17" s="173">
        <v>915</v>
      </c>
      <c r="C17" s="7" t="s">
        <v>125</v>
      </c>
      <c r="D17" s="38">
        <v>65216</v>
      </c>
      <c r="E17" s="39" t="s">
        <v>126</v>
      </c>
      <c r="F17" s="34">
        <f>+'Seguim Proy inversión 2015'!F17/$D17</f>
        <v>0</v>
      </c>
      <c r="G17" s="34">
        <f>+'Seguim Proy inversión 2015'!G17/$D17</f>
        <v>0.17980250245338567</v>
      </c>
      <c r="H17" s="34">
        <f>+'Seguim Proy inversión 2015'!H17/$D17</f>
        <v>0.37723871442590773</v>
      </c>
      <c r="I17" s="34">
        <f>+'Seguim Proy inversión 2015'!I17/$D17</f>
        <v>0.43125920019627084</v>
      </c>
      <c r="J17" s="34">
        <f>+'Seguim Proy inversión 2015'!J17/$D17</f>
        <v>0.466357948969578</v>
      </c>
      <c r="K17" s="34">
        <f>+'Seguim Proy inversión 2015'!K17/$D17</f>
        <v>0.494525883218842</v>
      </c>
      <c r="L17" s="34">
        <f>+'Seguim Proy inversión 2015'!L17/$D17</f>
        <v>0.61472644749754657</v>
      </c>
      <c r="M17" s="34">
        <f>+'Seguim Proy inversión 2015'!M17/$D17</f>
        <v>0.67213567222767423</v>
      </c>
      <c r="N17" s="34">
        <f>+'Seguim Proy inversión 2015'!N17/$D17</f>
        <v>0.78493007850834151</v>
      </c>
      <c r="O17" s="34">
        <f>+'Seguim Proy inversión 2015'!O17/$D17</f>
        <v>0.83750920019627084</v>
      </c>
      <c r="P17" s="34">
        <f>+'Seguim Proy inversión 2015'!P17/$D17</f>
        <v>0.90407262021589796</v>
      </c>
      <c r="Q17" s="34">
        <f>+'Seguim Proy inversión 2015'!Q17/$D17</f>
        <v>0.90407262021589796</v>
      </c>
      <c r="R17" s="34">
        <f>+'Seguim Proy inversión 2015'!R17/$D17</f>
        <v>0.90407262021589796</v>
      </c>
      <c r="S17" s="34">
        <v>0.7</v>
      </c>
      <c r="T17" s="173">
        <v>915</v>
      </c>
      <c r="U17" s="191">
        <f>+R17*S17+R18*S18</f>
        <v>0.94016790732186029</v>
      </c>
    </row>
    <row r="18" spans="1:21" ht="30" customHeight="1">
      <c r="A18" s="173"/>
      <c r="B18" s="173"/>
      <c r="C18" s="7" t="s">
        <v>127</v>
      </c>
      <c r="D18" s="40">
        <v>41</v>
      </c>
      <c r="E18" s="39" t="s">
        <v>128</v>
      </c>
      <c r="F18" s="34">
        <f>+'Seguim Proy inversión 2015'!F18/$D18</f>
        <v>0</v>
      </c>
      <c r="G18" s="34">
        <f>+'Seguim Proy inversión 2015'!G18/$D18</f>
        <v>0</v>
      </c>
      <c r="H18" s="34">
        <f>+'Seguim Proy inversión 2015'!H18/$D18</f>
        <v>0.34146341463414637</v>
      </c>
      <c r="I18" s="34">
        <f>+'Seguim Proy inversión 2015'!I18/$D18</f>
        <v>0.63414634146341464</v>
      </c>
      <c r="J18" s="34">
        <f>+'Seguim Proy inversión 2015'!J18/$D18</f>
        <v>0.73170731707317072</v>
      </c>
      <c r="K18" s="34">
        <f>+'Seguim Proy inversión 2015'!K18/$D18</f>
        <v>0.87804878048780488</v>
      </c>
      <c r="L18" s="34">
        <f>+'Seguim Proy inversión 2015'!L18/$D18</f>
        <v>0.92682926829268297</v>
      </c>
      <c r="M18" s="34">
        <f>+'Seguim Proy inversión 2015'!M18/$D18</f>
        <v>0.97560975609756095</v>
      </c>
      <c r="N18" s="34">
        <f>+'Seguim Proy inversión 2015'!N18/$D18</f>
        <v>1.024390243902439</v>
      </c>
      <c r="O18" s="34">
        <f>+'Seguim Proy inversión 2015'!O18/$D18</f>
        <v>1.024390243902439</v>
      </c>
      <c r="P18" s="34">
        <f>+'Seguim Proy inversión 2015'!P18/$D18</f>
        <v>1.024390243902439</v>
      </c>
      <c r="Q18" s="34">
        <f>+'Seguim Proy inversión 2015'!Q18/$D18</f>
        <v>1.024390243902439</v>
      </c>
      <c r="R18" s="34">
        <f>+'Seguim Proy inversión 2015'!R18/$D18</f>
        <v>1.024390243902439</v>
      </c>
      <c r="S18" s="34">
        <v>0.30000000000000004</v>
      </c>
      <c r="T18" s="173"/>
      <c r="U18" s="191"/>
    </row>
    <row r="19" spans="1:21" ht="15" customHeight="1">
      <c r="A19" s="173"/>
      <c r="B19" s="173">
        <v>772</v>
      </c>
      <c r="C19" s="7" t="s">
        <v>129</v>
      </c>
      <c r="D19" s="40">
        <v>6</v>
      </c>
      <c r="E19" s="39" t="s">
        <v>130</v>
      </c>
      <c r="F19" s="34">
        <f>+'Seguim Proy inversión 2015'!F19/$D19</f>
        <v>0</v>
      </c>
      <c r="G19" s="34">
        <f>+'Seguim Proy inversión 2015'!G19/$D19</f>
        <v>0</v>
      </c>
      <c r="H19" s="34">
        <f>+'Seguim Proy inversión 2015'!H19/$D19</f>
        <v>0.33333333333333331</v>
      </c>
      <c r="I19" s="34">
        <f>+'Seguim Proy inversión 2015'!I19/$D19</f>
        <v>0</v>
      </c>
      <c r="J19" s="34">
        <f>+'Seguim Proy inversión 2015'!J19/$D19</f>
        <v>0.33333333333333331</v>
      </c>
      <c r="K19" s="34">
        <f>+'Seguim Proy inversión 2015'!K19/$D19</f>
        <v>0.33333333333333331</v>
      </c>
      <c r="L19" s="34">
        <f>+'Seguim Proy inversión 2015'!L19/$D19</f>
        <v>0.5</v>
      </c>
      <c r="M19" s="34">
        <f>+'Seguim Proy inversión 2015'!M19/$D19</f>
        <v>0.83333333333333337</v>
      </c>
      <c r="N19" s="34">
        <f>+'Seguim Proy inversión 2015'!N19/$D19</f>
        <v>0.66666666666666663</v>
      </c>
      <c r="O19" s="34">
        <f>+'Seguim Proy inversión 2015'!O19/$D19</f>
        <v>0</v>
      </c>
      <c r="P19" s="34">
        <f>+'Seguim Proy inversión 2015'!P19/$D19</f>
        <v>0</v>
      </c>
      <c r="Q19" s="34">
        <f>+'Seguim Proy inversión 2015'!Q19/$D19</f>
        <v>0</v>
      </c>
      <c r="R19" s="34">
        <f>+'Seguim Proy inversión 2015'!R19/$D19</f>
        <v>0.83333333333333337</v>
      </c>
      <c r="S19" s="34">
        <v>0.4</v>
      </c>
      <c r="T19" s="173">
        <v>772</v>
      </c>
      <c r="U19" s="191">
        <f>+R19*S19+R20*S20+R21*S21</f>
        <v>0.9933333333333334</v>
      </c>
    </row>
    <row r="20" spans="1:21" ht="30" customHeight="1">
      <c r="A20" s="173"/>
      <c r="B20" s="173"/>
      <c r="C20" s="7" t="s">
        <v>131</v>
      </c>
      <c r="D20" s="49">
        <v>50</v>
      </c>
      <c r="E20" s="39" t="s">
        <v>132</v>
      </c>
      <c r="F20" s="34">
        <f>+'Seguim Proy inversión 2015'!F20/$D20</f>
        <v>0.02</v>
      </c>
      <c r="G20" s="34">
        <f>+'Seguim Proy inversión 2015'!G20/$D20</f>
        <v>0.02</v>
      </c>
      <c r="H20" s="34">
        <f>+'Seguim Proy inversión 2015'!H20/$D20</f>
        <v>0.02</v>
      </c>
      <c r="I20" s="34">
        <f>+'Seguim Proy inversión 2015'!I20/$D20</f>
        <v>0.02</v>
      </c>
      <c r="J20" s="34">
        <f>+'Seguim Proy inversión 2015'!J20/$D20</f>
        <v>0.12</v>
      </c>
      <c r="K20" s="34">
        <f>+'Seguim Proy inversión 2015'!K20/$D20</f>
        <v>0.06</v>
      </c>
      <c r="L20" s="34">
        <f>+'Seguim Proy inversión 2015'!L20/$D20</f>
        <v>0.22</v>
      </c>
      <c r="M20" s="34">
        <f>+'Seguim Proy inversión 2015'!M20/$D20</f>
        <v>0.14000000000000001</v>
      </c>
      <c r="N20" s="34">
        <f>+'Seguim Proy inversión 2015'!N20/$D20</f>
        <v>0.12</v>
      </c>
      <c r="O20" s="34">
        <f>+'Seguim Proy inversión 2015'!O20/$D20</f>
        <v>0.16</v>
      </c>
      <c r="P20" s="34">
        <f>+'Seguim Proy inversión 2015'!P20/$D20</f>
        <v>0.18</v>
      </c>
      <c r="Q20" s="34">
        <f>+'Seguim Proy inversión 2015'!Q20/$D20</f>
        <v>0.04</v>
      </c>
      <c r="R20" s="34">
        <f>+'Seguim Proy inversión 2015'!R20/$D20</f>
        <v>1.1200000000000001</v>
      </c>
      <c r="S20" s="34">
        <v>0.5</v>
      </c>
      <c r="T20" s="173"/>
      <c r="U20" s="191"/>
    </row>
    <row r="21" spans="1:21" ht="15" customHeight="1">
      <c r="A21" s="173"/>
      <c r="B21" s="173"/>
      <c r="C21" s="7" t="s">
        <v>131</v>
      </c>
      <c r="D21" s="40">
        <v>2</v>
      </c>
      <c r="E21" s="39" t="s">
        <v>133</v>
      </c>
      <c r="F21" s="34">
        <f>+'Seguim Proy inversión 2015'!F21/$D21</f>
        <v>0</v>
      </c>
      <c r="G21" s="34">
        <f>+'Seguim Proy inversión 2015'!G21/$D21</f>
        <v>0</v>
      </c>
      <c r="H21" s="34">
        <f>+'Seguim Proy inversión 2015'!H21/$D21</f>
        <v>0</v>
      </c>
      <c r="I21" s="34">
        <f>+'Seguim Proy inversión 2015'!I21/$D21</f>
        <v>0</v>
      </c>
      <c r="J21" s="34">
        <f>+'Seguim Proy inversión 2015'!J21/$D21</f>
        <v>0</v>
      </c>
      <c r="K21" s="34">
        <f>+'Seguim Proy inversión 2015'!K21/$D21</f>
        <v>0</v>
      </c>
      <c r="L21" s="34">
        <f>+'Seguim Proy inversión 2015'!L21/$D21</f>
        <v>0</v>
      </c>
      <c r="M21" s="34">
        <f>+'Seguim Proy inversión 2015'!M21/$D21</f>
        <v>0</v>
      </c>
      <c r="N21" s="34">
        <f>+'Seguim Proy inversión 2015'!N21/$D21</f>
        <v>0</v>
      </c>
      <c r="O21" s="34">
        <f>+'Seguim Proy inversión 2015'!O21/$D21</f>
        <v>1</v>
      </c>
      <c r="P21" s="34">
        <f>+'Seguim Proy inversión 2015'!P21/$D21</f>
        <v>0</v>
      </c>
      <c r="Q21" s="34">
        <f>+'Seguim Proy inversión 2015'!Q21/$D21</f>
        <v>0</v>
      </c>
      <c r="R21" s="34">
        <f>+'Seguim Proy inversión 2015'!R21/$D21</f>
        <v>1</v>
      </c>
      <c r="S21" s="34">
        <v>0.1</v>
      </c>
      <c r="T21" s="173"/>
      <c r="U21" s="191"/>
    </row>
    <row r="22" spans="1:21" ht="15" customHeight="1">
      <c r="A22" s="173"/>
      <c r="B22" s="173">
        <v>795</v>
      </c>
      <c r="C22" s="7" t="s">
        <v>134</v>
      </c>
      <c r="D22" s="40">
        <v>1140000</v>
      </c>
      <c r="E22" s="39" t="s">
        <v>135</v>
      </c>
      <c r="F22" s="34">
        <f>+'Seguim Proy inversión 2015'!F22/$D22</f>
        <v>1.4479824561403509E-2</v>
      </c>
      <c r="G22" s="34">
        <f>+'Seguim Proy inversión 2015'!G22/$D22</f>
        <v>5.3517543859649122E-3</v>
      </c>
      <c r="H22" s="34">
        <f>+'Seguim Proy inversión 2015'!H22/$D22</f>
        <v>7.699122807017544E-3</v>
      </c>
      <c r="I22" s="34">
        <f>+'Seguim Proy inversión 2015'!I22/$D22</f>
        <v>0.26727192982456138</v>
      </c>
      <c r="J22" s="34">
        <f>+'Seguim Proy inversión 2015'!J22/$D22</f>
        <v>0.20044035087719297</v>
      </c>
      <c r="K22" s="34">
        <f>+'Seguim Proy inversión 2015'!K22/$D22</f>
        <v>8.6907894736842101E-2</v>
      </c>
      <c r="L22" s="34">
        <f>+'Seguim Proy inversión 2015'!L22/$D22</f>
        <v>7.1677192982456145E-2</v>
      </c>
      <c r="M22" s="34">
        <f>+'Seguim Proy inversión 2015'!M22/$D22</f>
        <v>0.30887807017543861</v>
      </c>
      <c r="N22" s="34">
        <f>+'Seguim Proy inversión 2015'!N22/$D22</f>
        <v>0.16023245614035087</v>
      </c>
      <c r="O22" s="34">
        <f>+'Seguim Proy inversión 2015'!O22/$D22</f>
        <v>0.12629122807017543</v>
      </c>
      <c r="P22" s="34">
        <f>+'Seguim Proy inversión 2015'!P22/$D22</f>
        <v>0.17871842105263158</v>
      </c>
      <c r="Q22" s="34">
        <f>+'Seguim Proy inversión 2015'!Q22/$D22</f>
        <v>9.6964912280701754E-2</v>
      </c>
      <c r="R22" s="34">
        <f>+'Seguim Proy inversión 2015'!T22</f>
        <v>1.3832150375939849</v>
      </c>
      <c r="S22" s="34">
        <v>0.15</v>
      </c>
      <c r="T22" s="173">
        <v>795</v>
      </c>
      <c r="U22" s="191">
        <f>+R22*S22+R23*S23+R24*S24+R25*S25+R26*S26+R27*S27+R28*S28+R29*S29</f>
        <v>1.1770398781977751</v>
      </c>
    </row>
    <row r="23" spans="1:21" ht="57" customHeight="1">
      <c r="A23" s="173"/>
      <c r="B23" s="173"/>
      <c r="C23" s="7" t="s">
        <v>136</v>
      </c>
      <c r="D23" s="40">
        <v>260000</v>
      </c>
      <c r="E23" s="39" t="s">
        <v>137</v>
      </c>
      <c r="F23" s="34">
        <f>+'Seguim Proy inversión 2015'!F23/$D23</f>
        <v>0</v>
      </c>
      <c r="G23" s="34">
        <f>+'Seguim Proy inversión 2015'!G23/$D23</f>
        <v>0</v>
      </c>
      <c r="H23" s="34">
        <f>+'Seguim Proy inversión 2015'!H23/$D23</f>
        <v>0</v>
      </c>
      <c r="I23" s="34">
        <f>+'Seguim Proy inversión 2015'!I23/$D23</f>
        <v>0</v>
      </c>
      <c r="J23" s="34">
        <f>+'Seguim Proy inversión 2015'!J23/$D23</f>
        <v>0</v>
      </c>
      <c r="K23" s="34">
        <f>+'Seguim Proy inversión 2015'!K23/$D23</f>
        <v>0</v>
      </c>
      <c r="L23" s="34">
        <f>+'Seguim Proy inversión 2015'!L23/$D23</f>
        <v>0</v>
      </c>
      <c r="M23" s="34">
        <f>+'Seguim Proy inversión 2015'!M23/$D23</f>
        <v>0</v>
      </c>
      <c r="N23" s="34">
        <f>+'Seguim Proy inversión 2015'!N23/$D23</f>
        <v>6.861538461538462E-2</v>
      </c>
      <c r="O23" s="34">
        <f>+'Seguim Proy inversión 2015'!O23/$D23</f>
        <v>2.9807692307692309E-2</v>
      </c>
      <c r="P23" s="34">
        <f>+'Seguim Proy inversión 2015'!P23/$D23</f>
        <v>0.35234615384615386</v>
      </c>
      <c r="Q23" s="34">
        <f>+'Seguim Proy inversión 2015'!Q23/$D23</f>
        <v>6.2269230769230771E-2</v>
      </c>
      <c r="R23" s="34">
        <f>+'Seguim Proy inversión 2015'!T23</f>
        <v>1.2301252747252747</v>
      </c>
      <c r="S23" s="34">
        <v>0.05</v>
      </c>
      <c r="T23" s="173"/>
      <c r="U23" s="191"/>
    </row>
    <row r="24" spans="1:21" ht="12.75" customHeight="1">
      <c r="A24" s="173"/>
      <c r="B24" s="173"/>
      <c r="C24" s="7" t="s">
        <v>138</v>
      </c>
      <c r="D24" s="40">
        <v>10000</v>
      </c>
      <c r="E24" s="39" t="s">
        <v>139</v>
      </c>
      <c r="F24" s="34">
        <f>+'Seguim Proy inversión 2015'!F24/$D24</f>
        <v>2.3E-2</v>
      </c>
      <c r="G24" s="34">
        <f>+'Seguim Proy inversión 2015'!G24/$D24</f>
        <v>2.12E-2</v>
      </c>
      <c r="H24" s="34">
        <f>+'Seguim Proy inversión 2015'!H24/$D24</f>
        <v>2.9700000000000001E-2</v>
      </c>
      <c r="I24" s="34">
        <f>+'Seguim Proy inversión 2015'!I24/$D24</f>
        <v>8.9399999999999993E-2</v>
      </c>
      <c r="J24" s="34">
        <f>+'Seguim Proy inversión 2015'!J24/$D24</f>
        <v>0.17730000000000001</v>
      </c>
      <c r="K24" s="34">
        <f>+'Seguim Proy inversión 2015'!K24/$D24</f>
        <v>0.16289999999999999</v>
      </c>
      <c r="L24" s="34">
        <f>+'Seguim Proy inversión 2015'!L24/$D24</f>
        <v>0.184</v>
      </c>
      <c r="M24" s="34">
        <f>+'Seguim Proy inversión 2015'!M24/$D24</f>
        <v>0.26269999999999999</v>
      </c>
      <c r="N24" s="34">
        <f>+'Seguim Proy inversión 2015'!N24/$D24</f>
        <v>0.29160000000000003</v>
      </c>
      <c r="O24" s="34">
        <f>+'Seguim Proy inversión 2015'!O24/$D24</f>
        <v>0.28989999999999999</v>
      </c>
      <c r="P24" s="34">
        <f>+'Seguim Proy inversión 2015'!P24/$D24</f>
        <v>0.2137</v>
      </c>
      <c r="Q24" s="34">
        <f>+'Seguim Proy inversión 2015'!Q24/$D24</f>
        <v>7.9399999999999998E-2</v>
      </c>
      <c r="R24" s="34">
        <f>+'Seguim Proy inversión 2015'!T24</f>
        <v>1.4782857142857142</v>
      </c>
      <c r="S24" s="34">
        <v>0.15</v>
      </c>
      <c r="T24" s="173"/>
      <c r="U24" s="191"/>
    </row>
    <row r="25" spans="1:21" ht="12.75" customHeight="1">
      <c r="A25" s="173"/>
      <c r="B25" s="173"/>
      <c r="C25" s="7" t="s">
        <v>131</v>
      </c>
      <c r="D25" s="38">
        <v>753</v>
      </c>
      <c r="E25" s="39" t="s">
        <v>140</v>
      </c>
      <c r="F25" s="34">
        <f>+'Seguim Proy inversión 2015'!F25/$D25</f>
        <v>0</v>
      </c>
      <c r="G25" s="34">
        <f>+'Seguim Proy inversión 2015'!G25/$D25</f>
        <v>0</v>
      </c>
      <c r="H25" s="34">
        <f>+'Seguim Proy inversión 2015'!H25/$D25</f>
        <v>7.9681274900398405E-3</v>
      </c>
      <c r="I25" s="34">
        <f>+'Seguim Proy inversión 2015'!I25/$D25</f>
        <v>8.8977423638778225E-2</v>
      </c>
      <c r="J25" s="34">
        <f>+'Seguim Proy inversión 2015'!J25/$D25</f>
        <v>9.5617529880478086E-2</v>
      </c>
      <c r="K25" s="34">
        <f>+'Seguim Proy inversión 2015'!K25/$D25</f>
        <v>0.22310756972111553</v>
      </c>
      <c r="L25" s="34">
        <f>+'Seguim Proy inversión 2015'!L25/$D25</f>
        <v>0.32005312084993359</v>
      </c>
      <c r="M25" s="34">
        <f>+'Seguim Proy inversión 2015'!M25/$D25</f>
        <v>0.10358565737051793</v>
      </c>
      <c r="N25" s="34">
        <f>+'Seguim Proy inversión 2015'!N25/$D25</f>
        <v>0.11553784860557768</v>
      </c>
      <c r="O25" s="34">
        <f>+'Seguim Proy inversión 2015'!O25/$D25</f>
        <v>3.9840637450199202E-2</v>
      </c>
      <c r="P25" s="34">
        <f>+'Seguim Proy inversión 2015'!P25/$D25</f>
        <v>2.6560424966799467E-3</v>
      </c>
      <c r="Q25" s="34">
        <f>+'Seguim Proy inversión 2015'!Q25/$D25</f>
        <v>3.9840637450199202E-2</v>
      </c>
      <c r="R25" s="34">
        <f>+'Seguim Proy inversión 2015'!R25/$D25</f>
        <v>1.0371845949535192</v>
      </c>
      <c r="S25" s="34">
        <v>0.25</v>
      </c>
      <c r="T25" s="173"/>
      <c r="U25" s="191"/>
    </row>
    <row r="26" spans="1:21" ht="12.75" customHeight="1">
      <c r="A26" s="173"/>
      <c r="B26" s="173"/>
      <c r="C26" s="7" t="s">
        <v>141</v>
      </c>
      <c r="D26" s="41">
        <v>0.2</v>
      </c>
      <c r="E26" s="39" t="s">
        <v>142</v>
      </c>
      <c r="F26" s="34">
        <f>+'Seguim Proy inversión 2015'!F26/$D26</f>
        <v>0</v>
      </c>
      <c r="G26" s="34">
        <f>+'Seguim Proy inversión 2015'!G26/$D26</f>
        <v>0</v>
      </c>
      <c r="H26" s="34">
        <f>+'Seguim Proy inversión 2015'!H26/$D26</f>
        <v>0</v>
      </c>
      <c r="I26" s="34">
        <f>+'Seguim Proy inversión 2015'!I26/$D26</f>
        <v>0</v>
      </c>
      <c r="J26" s="34">
        <f>+'Seguim Proy inversión 2015'!J26/$D26</f>
        <v>0</v>
      </c>
      <c r="K26" s="34">
        <f>+'Seguim Proy inversión 2015'!K26/$D26</f>
        <v>1</v>
      </c>
      <c r="L26" s="34">
        <f>+'Seguim Proy inversión 2015'!L26/$D26</f>
        <v>1</v>
      </c>
      <c r="M26" s="34">
        <f>+'Seguim Proy inversión 2015'!M26/$D26</f>
        <v>1</v>
      </c>
      <c r="N26" s="34">
        <f>+'Seguim Proy inversión 2015'!N26/$D26</f>
        <v>1</v>
      </c>
      <c r="O26" s="34">
        <f>+'Seguim Proy inversión 2015'!O26/$D26</f>
        <v>1</v>
      </c>
      <c r="P26" s="34">
        <f>+'Seguim Proy inversión 2015'!P26/$D26</f>
        <v>1</v>
      </c>
      <c r="Q26" s="34">
        <f>+'Seguim Proy inversión 2015'!Q26/$D26</f>
        <v>1</v>
      </c>
      <c r="R26" s="34">
        <f>+'Seguim Proy inversión 2015'!R26/$D26</f>
        <v>1</v>
      </c>
      <c r="S26" s="34">
        <v>0.15</v>
      </c>
      <c r="T26" s="173"/>
      <c r="U26" s="191"/>
    </row>
    <row r="27" spans="1:21" ht="12.75" customHeight="1">
      <c r="A27" s="173"/>
      <c r="B27" s="173"/>
      <c r="C27" s="43" t="s">
        <v>143</v>
      </c>
      <c r="D27" s="38">
        <v>85000</v>
      </c>
      <c r="E27" s="39" t="s">
        <v>137</v>
      </c>
      <c r="F27" s="34">
        <f>+'Seguim Proy inversión 2015'!F27/$D27</f>
        <v>0</v>
      </c>
      <c r="G27" s="34">
        <f>+'Seguim Proy inversión 2015'!G27/$D27</f>
        <v>7.0941176470588237E-3</v>
      </c>
      <c r="H27" s="34">
        <f>+'Seguim Proy inversión 2015'!H27/$D27</f>
        <v>6.0588235294117649E-3</v>
      </c>
      <c r="I27" s="34">
        <f>+'Seguim Proy inversión 2015'!I27/$D27</f>
        <v>3.2352941176470589E-3</v>
      </c>
      <c r="J27" s="34">
        <f>+'Seguim Proy inversión 2015'!J27/$D27</f>
        <v>0.58655294117647061</v>
      </c>
      <c r="K27" s="34">
        <f>+'Seguim Proy inversión 2015'!K27/$D27</f>
        <v>4.118823529411765E-2</v>
      </c>
      <c r="L27" s="34">
        <f>+'Seguim Proy inversión 2015'!L27/$D27</f>
        <v>1.5388235294117647E-2</v>
      </c>
      <c r="M27" s="34">
        <f>+'Seguim Proy inversión 2015'!M27/$D27</f>
        <v>6.6776470588235298E-2</v>
      </c>
      <c r="N27" s="34">
        <f>+'Seguim Proy inversión 2015'!N27/$D27</f>
        <v>0.1897764705882353</v>
      </c>
      <c r="O27" s="34">
        <f>+'Seguim Proy inversión 2015'!O27/$D27</f>
        <v>5.3894117647058822E-2</v>
      </c>
      <c r="P27" s="34">
        <f>+'Seguim Proy inversión 2015'!P27/$D27</f>
        <v>7.8694117647058817E-2</v>
      </c>
      <c r="Q27" s="34">
        <f>+'Seguim Proy inversión 2015'!Q27/$D27</f>
        <v>0.13142352941176472</v>
      </c>
      <c r="R27" s="34">
        <f>+'Seguim Proy inversión 2015'!R27/$D27</f>
        <v>1.1800823529411764</v>
      </c>
      <c r="S27" s="34">
        <v>0.15</v>
      </c>
      <c r="T27" s="173"/>
      <c r="U27" s="191"/>
    </row>
    <row r="28" spans="1:21" ht="12.75" customHeight="1">
      <c r="A28" s="173"/>
      <c r="B28" s="173"/>
      <c r="C28" s="43" t="s">
        <v>144</v>
      </c>
      <c r="D28" s="40">
        <v>10</v>
      </c>
      <c r="E28" s="39" t="s">
        <v>145</v>
      </c>
      <c r="F28" s="34">
        <f>+'Seguim Proy inversión 2015'!F28/$D28</f>
        <v>0</v>
      </c>
      <c r="G28" s="34">
        <f>+'Seguim Proy inversión 2015'!G28/$D28</f>
        <v>0</v>
      </c>
      <c r="H28" s="34">
        <f>+'Seguim Proy inversión 2015'!H28/$D28</f>
        <v>0</v>
      </c>
      <c r="I28" s="34">
        <f>+'Seguim Proy inversión 2015'!I28/$D28</f>
        <v>0</v>
      </c>
      <c r="J28" s="34">
        <f>+'Seguim Proy inversión 2015'!J28/$D28</f>
        <v>0</v>
      </c>
      <c r="K28" s="34">
        <f>+'Seguim Proy inversión 2015'!K28/$D28</f>
        <v>0</v>
      </c>
      <c r="L28" s="34">
        <f>+'Seguim Proy inversión 2015'!L28/$D28</f>
        <v>1</v>
      </c>
      <c r="M28" s="34">
        <f>+'Seguim Proy inversión 2015'!M28/$D28</f>
        <v>0</v>
      </c>
      <c r="N28" s="34">
        <f>+'Seguim Proy inversión 2015'!N28/$D28</f>
        <v>0</v>
      </c>
      <c r="O28" s="34">
        <f>+'Seguim Proy inversión 2015'!O28/$D28</f>
        <v>0</v>
      </c>
      <c r="P28" s="34">
        <f>+'Seguim Proy inversión 2015'!P28/$D28</f>
        <v>0</v>
      </c>
      <c r="Q28" s="34">
        <f>+'Seguim Proy inversión 2015'!Q28/$D28</f>
        <v>0</v>
      </c>
      <c r="R28" s="34">
        <f>+'Seguim Proy inversión 2015'!R28/$D28</f>
        <v>1</v>
      </c>
      <c r="S28" s="34">
        <v>0.05</v>
      </c>
      <c r="T28" s="173"/>
      <c r="U28" s="191"/>
    </row>
    <row r="29" spans="1:21" ht="12.75" customHeight="1">
      <c r="A29" s="173"/>
      <c r="B29" s="173"/>
      <c r="C29" s="43" t="s">
        <v>185</v>
      </c>
      <c r="D29" s="40">
        <v>5</v>
      </c>
      <c r="E29" s="39" t="s">
        <v>147</v>
      </c>
      <c r="F29" s="34">
        <f>+'Seguim Proy inversión 2015'!F29/$D29</f>
        <v>0</v>
      </c>
      <c r="G29" s="34">
        <f>+'Seguim Proy inversión 2015'!G29/$D29</f>
        <v>0</v>
      </c>
      <c r="H29" s="34">
        <f>+'Seguim Proy inversión 2015'!H29/$D29</f>
        <v>0.6</v>
      </c>
      <c r="I29" s="34">
        <f>+'Seguim Proy inversión 2015'!I29/$D29</f>
        <v>0.6</v>
      </c>
      <c r="J29" s="34">
        <f>+'Seguim Proy inversión 2015'!J29/$D29</f>
        <v>0.8</v>
      </c>
      <c r="K29" s="34">
        <f>+'Seguim Proy inversión 2015'!K29/$D29</f>
        <v>1</v>
      </c>
      <c r="L29" s="34">
        <f>+'Seguim Proy inversión 2015'!L29/$D29</f>
        <v>1</v>
      </c>
      <c r="M29" s="34">
        <f>+'Seguim Proy inversión 2015'!M29/$D29</f>
        <v>1</v>
      </c>
      <c r="N29" s="34">
        <f>+'Seguim Proy inversión 2015'!N29/$D29</f>
        <v>0</v>
      </c>
      <c r="O29" s="34">
        <f>+'Seguim Proy inversión 2015'!O29/$D29</f>
        <v>0</v>
      </c>
      <c r="P29" s="34">
        <f>+'Seguim Proy inversión 2015'!P29/$D29</f>
        <v>0</v>
      </c>
      <c r="Q29" s="34">
        <f>+'Seguim Proy inversión 2015'!Q29/$D29</f>
        <v>1</v>
      </c>
      <c r="R29" s="34">
        <f>+'Seguim Proy inversión 2015'!R29/$D29</f>
        <v>1</v>
      </c>
      <c r="S29" s="34">
        <v>0.05</v>
      </c>
      <c r="T29" s="173"/>
      <c r="U29" s="191"/>
    </row>
    <row r="30" spans="1:21" ht="12.75" customHeight="1">
      <c r="A30" s="173"/>
      <c r="B30" s="173">
        <v>783</v>
      </c>
      <c r="C30" s="43" t="s">
        <v>148</v>
      </c>
      <c r="D30" s="38">
        <v>2</v>
      </c>
      <c r="E30" s="39" t="s">
        <v>149</v>
      </c>
      <c r="F30" s="34">
        <f>+'Seguim Proy inversión 2015'!F30/$D30</f>
        <v>1</v>
      </c>
      <c r="G30" s="34">
        <f>+'Seguim Proy inversión 2015'!G30/$D30</f>
        <v>1</v>
      </c>
      <c r="H30" s="34">
        <f>+'Seguim Proy inversión 2015'!H30/$D30</f>
        <v>1</v>
      </c>
      <c r="I30" s="34">
        <f>+'Seguim Proy inversión 2015'!I30/$D30</f>
        <v>1</v>
      </c>
      <c r="J30" s="34">
        <f>+'Seguim Proy inversión 2015'!J30/$D30</f>
        <v>1</v>
      </c>
      <c r="K30" s="34">
        <f>+'Seguim Proy inversión 2015'!K30/$D30</f>
        <v>1</v>
      </c>
      <c r="L30" s="34">
        <f>+'Seguim Proy inversión 2015'!L30/$D30</f>
        <v>1</v>
      </c>
      <c r="M30" s="34">
        <f>+'Seguim Proy inversión 2015'!M30/$D30</f>
        <v>1</v>
      </c>
      <c r="N30" s="34">
        <f>+'Seguim Proy inversión 2015'!N30/$D30</f>
        <v>1</v>
      </c>
      <c r="O30" s="34">
        <f>+'Seguim Proy inversión 2015'!O30/$D30</f>
        <v>1</v>
      </c>
      <c r="P30" s="34">
        <f>+'Seguim Proy inversión 2015'!P30/$D30</f>
        <v>1</v>
      </c>
      <c r="Q30" s="34">
        <f>+'Seguim Proy inversión 2015'!Q30/$D30</f>
        <v>1</v>
      </c>
      <c r="R30" s="34">
        <f>+'Seguim Proy inversión 2015'!R30/$D30</f>
        <v>1</v>
      </c>
      <c r="S30" s="34">
        <v>0.2</v>
      </c>
      <c r="T30" s="173">
        <v>783</v>
      </c>
      <c r="U30" s="191">
        <f>+R30*S30+R31*S31+R32*S32+R33*S33+R34*S34</f>
        <v>1.3587300034013605</v>
      </c>
    </row>
    <row r="31" spans="1:21" ht="12.75" customHeight="1">
      <c r="A31" s="173"/>
      <c r="B31" s="173"/>
      <c r="C31" s="7" t="s">
        <v>150</v>
      </c>
      <c r="D31" s="44">
        <v>0.4</v>
      </c>
      <c r="E31" s="39" t="s">
        <v>151</v>
      </c>
      <c r="F31" s="34">
        <f>+'Seguim Proy inversión 2015'!F31/$D31</f>
        <v>0</v>
      </c>
      <c r="G31" s="34">
        <f>+'Seguim Proy inversión 2015'!G31/$D31</f>
        <v>0</v>
      </c>
      <c r="H31" s="34">
        <f>+'Seguim Proy inversión 2015'!H31/$D31</f>
        <v>0.78999999999999992</v>
      </c>
      <c r="I31" s="34">
        <f>+'Seguim Proy inversión 2015'!I31/$D31</f>
        <v>0.81774999999999998</v>
      </c>
      <c r="J31" s="34">
        <f>+'Seguim Proy inversión 2015'!J31/$D31</f>
        <v>0.84299999999999997</v>
      </c>
      <c r="K31" s="34">
        <f>+'Seguim Proy inversión 2015'!K31/$D31</f>
        <v>0.85175000000000001</v>
      </c>
      <c r="L31" s="34">
        <f>+'Seguim Proy inversión 2015'!L31/$D31</f>
        <v>0.85049999999999992</v>
      </c>
      <c r="M31" s="34">
        <f>+'Seguim Proy inversión 2015'!M31/$D31</f>
        <v>0.86949999999999994</v>
      </c>
      <c r="N31" s="34">
        <f>+'Seguim Proy inversión 2015'!N31/$D31</f>
        <v>0.87499999999999989</v>
      </c>
      <c r="O31" s="34">
        <f>+'Seguim Proy inversión 2015'!O31/$D31</f>
        <v>0.92499999999999993</v>
      </c>
      <c r="P31" s="34">
        <f>+'Seguim Proy inversión 2015'!P31/$D31</f>
        <v>0.92499999999999993</v>
      </c>
      <c r="Q31" s="34">
        <f>+'Seguim Proy inversión 2015'!Q31/$D31</f>
        <v>0.9375</v>
      </c>
      <c r="R31" s="34">
        <f>+'Seguim Proy inversión 2015'!R31/$D31</f>
        <v>0.9375</v>
      </c>
      <c r="S31" s="34">
        <v>0.1</v>
      </c>
      <c r="T31" s="173"/>
      <c r="U31" s="191"/>
    </row>
    <row r="32" spans="1:21" ht="12.75" customHeight="1">
      <c r="A32" s="173"/>
      <c r="B32" s="173"/>
      <c r="C32" s="43" t="s">
        <v>152</v>
      </c>
      <c r="D32" s="38">
        <v>300000</v>
      </c>
      <c r="E32" s="39" t="s">
        <v>137</v>
      </c>
      <c r="F32" s="34">
        <f>+'Seguim Proy inversión 2015'!F32/$D32</f>
        <v>9.7886666666666663E-2</v>
      </c>
      <c r="G32" s="34">
        <f>+'Seguim Proy inversión 2015'!G32/$D32</f>
        <v>6.6250000000000003E-2</v>
      </c>
      <c r="H32" s="34">
        <f>+'Seguim Proy inversión 2015'!H32/$D32</f>
        <v>0.12022666666666666</v>
      </c>
      <c r="I32" s="34">
        <f>+'Seguim Proy inversión 2015'!I32/$D32</f>
        <v>0.10802</v>
      </c>
      <c r="J32" s="34">
        <f>+'Seguim Proy inversión 2015'!J32/$D32</f>
        <v>9.9210000000000007E-2</v>
      </c>
      <c r="K32" s="34">
        <f>+'Seguim Proy inversión 2015'!K32/$D32</f>
        <v>0.13994666666666666</v>
      </c>
      <c r="L32" s="34">
        <f>+'Seguim Proy inversión 2015'!L32/$D32</f>
        <v>0.14520333333333332</v>
      </c>
      <c r="M32" s="34">
        <f>+'Seguim Proy inversión 2015'!M32/$D32</f>
        <v>0.14524666666666666</v>
      </c>
      <c r="N32" s="34">
        <f>+'Seguim Proy inversión 2015'!N32/$D32</f>
        <v>0.11125</v>
      </c>
      <c r="O32" s="34">
        <f>+'Seguim Proy inversión 2015'!O32/$D32</f>
        <v>0.16936999999999999</v>
      </c>
      <c r="P32" s="34">
        <f>+'Seguim Proy inversión 2015'!P32/$D32</f>
        <v>9.3396666666666669E-2</v>
      </c>
      <c r="Q32" s="34">
        <f>+'Seguim Proy inversión 2015'!Q32/$D32</f>
        <v>9.6496666666666661E-2</v>
      </c>
      <c r="R32" s="34">
        <f>+'Seguim Proy inversión 2015'!R32/$D32</f>
        <v>1.3925033333333334</v>
      </c>
      <c r="S32" s="34">
        <v>0.2</v>
      </c>
      <c r="T32" s="173"/>
      <c r="U32" s="191"/>
    </row>
    <row r="33" spans="1:21" ht="12.75" customHeight="1">
      <c r="A33" s="173"/>
      <c r="B33" s="173"/>
      <c r="C33" s="43" t="s">
        <v>186</v>
      </c>
      <c r="D33" s="38">
        <v>280000</v>
      </c>
      <c r="E33" s="39" t="s">
        <v>137</v>
      </c>
      <c r="F33" s="34">
        <f>+'Seguim Proy inversión 2015'!F33/$D33</f>
        <v>2.075357142857143E-2</v>
      </c>
      <c r="G33" s="34">
        <f>+'Seguim Proy inversión 2015'!G33/$D33</f>
        <v>5.4271428571428575E-2</v>
      </c>
      <c r="H33" s="34">
        <f>+'Seguim Proy inversión 2015'!H33/$D33</f>
        <v>6.6674999999999998E-2</v>
      </c>
      <c r="I33" s="34">
        <f>+'Seguim Proy inversión 2015'!I33/$D33</f>
        <v>0.30469642857142859</v>
      </c>
      <c r="J33" s="34">
        <f>+'Seguim Proy inversión 2015'!J33/$D33</f>
        <v>0.186975</v>
      </c>
      <c r="K33" s="34">
        <f>+'Seguim Proy inversión 2015'!K33/$D33</f>
        <v>0.11273571428571429</v>
      </c>
      <c r="L33" s="34">
        <f>+'Seguim Proy inversión 2015'!L33/$D33</f>
        <v>0.16278928571428572</v>
      </c>
      <c r="M33" s="34">
        <f>+'Seguim Proy inversión 2015'!M33/$D33</f>
        <v>0.15996071428571429</v>
      </c>
      <c r="N33" s="34">
        <f>+'Seguim Proy inversión 2015'!N33/$D33</f>
        <v>0.17471071428571427</v>
      </c>
      <c r="O33" s="34">
        <f>+'Seguim Proy inversión 2015'!O33/$D33</f>
        <v>0.15989285714285714</v>
      </c>
      <c r="P33" s="34">
        <f>+'Seguim Proy inversión 2015'!P33/$D33</f>
        <v>0.19191785714285714</v>
      </c>
      <c r="Q33" s="34">
        <f>+'Seguim Proy inversión 2015'!Q33/$D33</f>
        <v>0.15541785714285714</v>
      </c>
      <c r="R33" s="34">
        <f>+'Seguim Proy inversión 2015'!T33</f>
        <v>1.7291173469387755</v>
      </c>
      <c r="S33" s="34">
        <v>0.25</v>
      </c>
      <c r="T33" s="173"/>
      <c r="U33" s="191"/>
    </row>
    <row r="34" spans="1:21" ht="12.75" customHeight="1">
      <c r="A34" s="173"/>
      <c r="B34" s="173"/>
      <c r="C34" s="7" t="s">
        <v>138</v>
      </c>
      <c r="D34" s="38">
        <v>2500</v>
      </c>
      <c r="E34" s="39" t="s">
        <v>154</v>
      </c>
      <c r="F34" s="34">
        <f>+'Seguim Proy inversión 2015'!F34/$D34</f>
        <v>6.4000000000000001E-2</v>
      </c>
      <c r="G34" s="34">
        <f>+'Seguim Proy inversión 2015'!G34/$D34</f>
        <v>8.2400000000000001E-2</v>
      </c>
      <c r="H34" s="34">
        <f>+'Seguim Proy inversión 2015'!H34/$D34</f>
        <v>0.15479999999999999</v>
      </c>
      <c r="I34" s="34">
        <f>+'Seguim Proy inversión 2015'!I34/$D34</f>
        <v>0.1396</v>
      </c>
      <c r="J34" s="34">
        <f>+'Seguim Proy inversión 2015'!J34/$D34</f>
        <v>0.16120000000000001</v>
      </c>
      <c r="K34" s="34">
        <f>+'Seguim Proy inversión 2015'!K34/$D34</f>
        <v>0.20599999999999999</v>
      </c>
      <c r="L34" s="34">
        <f>+'Seguim Proy inversión 2015'!L34/$D34</f>
        <v>0.21959999999999999</v>
      </c>
      <c r="M34" s="34">
        <f>+'Seguim Proy inversión 2015'!M34/$D34</f>
        <v>0.1968</v>
      </c>
      <c r="N34" s="34">
        <f>+'Seguim Proy inversión 2015'!N34/$D34</f>
        <v>0.19120000000000001</v>
      </c>
      <c r="O34" s="34">
        <f>+'Seguim Proy inversión 2015'!O34/$D34</f>
        <v>0.22040000000000001</v>
      </c>
      <c r="P34" s="34">
        <f>+'Seguim Proy inversión 2015'!P34/$D34</f>
        <v>0.188</v>
      </c>
      <c r="Q34" s="34">
        <f>+'Seguim Proy inversión 2015'!Q34/$D34</f>
        <v>0.2208</v>
      </c>
      <c r="R34" s="34">
        <f>+'Seguim Proy inversión 2015'!T34</f>
        <v>1.4168000000000001</v>
      </c>
      <c r="S34" s="34">
        <v>0.25</v>
      </c>
      <c r="T34" s="173"/>
      <c r="U34" s="191"/>
    </row>
    <row r="35" spans="1:21" ht="12.75" customHeight="1">
      <c r="A35" s="173"/>
      <c r="B35" s="173">
        <v>792</v>
      </c>
      <c r="C35" s="7" t="s">
        <v>155</v>
      </c>
      <c r="D35" s="40">
        <v>8</v>
      </c>
      <c r="E35" s="39" t="s">
        <v>156</v>
      </c>
      <c r="F35" s="34">
        <f>+'Seguim Proy inversión 2015'!F35/$D35</f>
        <v>1</v>
      </c>
      <c r="G35" s="34">
        <f>+'Seguim Proy inversión 2015'!G35/$D35</f>
        <v>1</v>
      </c>
      <c r="H35" s="34">
        <f>+'Seguim Proy inversión 2015'!H35/$D35</f>
        <v>1</v>
      </c>
      <c r="I35" s="34">
        <f>+'Seguim Proy inversión 2015'!I35/$D35</f>
        <v>1</v>
      </c>
      <c r="J35" s="34">
        <f>+'Seguim Proy inversión 2015'!J35/$D35</f>
        <v>1</v>
      </c>
      <c r="K35" s="34">
        <f>+'Seguim Proy inversión 2015'!K35/$D35</f>
        <v>1</v>
      </c>
      <c r="L35" s="34">
        <f>+'Seguim Proy inversión 2015'!L35/$D35</f>
        <v>1</v>
      </c>
      <c r="M35" s="34">
        <f>+'Seguim Proy inversión 2015'!M35/$D35</f>
        <v>1</v>
      </c>
      <c r="N35" s="34">
        <f>+'Seguim Proy inversión 2015'!N35/$D35</f>
        <v>1</v>
      </c>
      <c r="O35" s="34">
        <f>+'Seguim Proy inversión 2015'!O35/$D35</f>
        <v>1</v>
      </c>
      <c r="P35" s="34">
        <f>+'Seguim Proy inversión 2015'!P35/$D35</f>
        <v>1</v>
      </c>
      <c r="Q35" s="34">
        <f>+'Seguim Proy inversión 2015'!Q35/$D35</f>
        <v>1</v>
      </c>
      <c r="R35" s="34">
        <f>+'Seguim Proy inversión 2015'!R35/$D35</f>
        <v>1</v>
      </c>
      <c r="S35" s="34">
        <v>0.30000000000000004</v>
      </c>
      <c r="T35" s="173">
        <v>792</v>
      </c>
      <c r="U35" s="191">
        <f>+R35*S35+R36*S36+R37*S37+R38*S38</f>
        <v>0.78</v>
      </c>
    </row>
    <row r="36" spans="1:21" ht="12.75" customHeight="1">
      <c r="A36" s="173"/>
      <c r="B36" s="173"/>
      <c r="C36" s="7" t="s">
        <v>155</v>
      </c>
      <c r="D36" s="40">
        <v>2</v>
      </c>
      <c r="E36" s="39" t="s">
        <v>157</v>
      </c>
      <c r="F36" s="34">
        <f>+'Seguim Proy inversión 2015'!F36/$D36</f>
        <v>1</v>
      </c>
      <c r="G36" s="34">
        <f>+'Seguim Proy inversión 2015'!G36/$D36</f>
        <v>1</v>
      </c>
      <c r="H36" s="34">
        <f>+'Seguim Proy inversión 2015'!H36/$D36</f>
        <v>1</v>
      </c>
      <c r="I36" s="34">
        <f>+'Seguim Proy inversión 2015'!I36/$D36</f>
        <v>1</v>
      </c>
      <c r="J36" s="34">
        <f>+'Seguim Proy inversión 2015'!J36/$D36</f>
        <v>1</v>
      </c>
      <c r="K36" s="34">
        <f>+'Seguim Proy inversión 2015'!K36/$D36</f>
        <v>1</v>
      </c>
      <c r="L36" s="34">
        <f>+'Seguim Proy inversión 2015'!L36/$D36</f>
        <v>1</v>
      </c>
      <c r="M36" s="34">
        <f>+'Seguim Proy inversión 2015'!M36/$D36</f>
        <v>1</v>
      </c>
      <c r="N36" s="34">
        <f>+'Seguim Proy inversión 2015'!N36/$D36</f>
        <v>1</v>
      </c>
      <c r="O36" s="34">
        <f>+'Seguim Proy inversión 2015'!O36/$D36</f>
        <v>1</v>
      </c>
      <c r="P36" s="34">
        <f>+'Seguim Proy inversión 2015'!P36/$D36</f>
        <v>1</v>
      </c>
      <c r="Q36" s="34">
        <f>+'Seguim Proy inversión 2015'!Q36/$D36</f>
        <v>1</v>
      </c>
      <c r="R36" s="34">
        <f>+'Seguim Proy inversión 2015'!R36/$D36</f>
        <v>1</v>
      </c>
      <c r="S36" s="34">
        <v>0.2</v>
      </c>
      <c r="T36" s="173"/>
      <c r="U36" s="191"/>
    </row>
    <row r="37" spans="1:21" ht="12.75" customHeight="1">
      <c r="A37" s="173"/>
      <c r="B37" s="173"/>
      <c r="C37" s="7" t="s">
        <v>158</v>
      </c>
      <c r="D37" s="44">
        <v>0.5</v>
      </c>
      <c r="E37" s="39" t="s">
        <v>159</v>
      </c>
      <c r="F37" s="34">
        <f>+'Seguim Proy inversión 2015'!F37/$D37</f>
        <v>0</v>
      </c>
      <c r="G37" s="34">
        <f>+'Seguim Proy inversión 2015'!G37/$D37</f>
        <v>0</v>
      </c>
      <c r="H37" s="34">
        <f>+'Seguim Proy inversión 2015'!H37/$D37</f>
        <v>0.5</v>
      </c>
      <c r="I37" s="34">
        <f>+'Seguim Proy inversión 2015'!I37/$D37</f>
        <v>0.5</v>
      </c>
      <c r="J37" s="34">
        <f>+'Seguim Proy inversión 2015'!J37/$D37</f>
        <v>0.5</v>
      </c>
      <c r="K37" s="34">
        <f>+'Seguim Proy inversión 2015'!K37/$D37</f>
        <v>0.5</v>
      </c>
      <c r="L37" s="34">
        <f>+'Seguim Proy inversión 2015'!L37/$D37</f>
        <v>0.5</v>
      </c>
      <c r="M37" s="34">
        <f>+'Seguim Proy inversión 2015'!M37/$D37</f>
        <v>0.5</v>
      </c>
      <c r="N37" s="34">
        <f>+'Seguim Proy inversión 2015'!N37/$D37</f>
        <v>0.5</v>
      </c>
      <c r="O37" s="34">
        <f>+'Seguim Proy inversión 2015'!O37/$D37</f>
        <v>0.60000000000000009</v>
      </c>
      <c r="P37" s="34">
        <f>+'Seguim Proy inversión 2015'!P37/$D37</f>
        <v>0.60000000000000009</v>
      </c>
      <c r="Q37" s="34">
        <f>+'Seguim Proy inversión 2015'!Q37/$D37</f>
        <v>0.60000000000000009</v>
      </c>
      <c r="R37" s="34">
        <f>+'Seguim Proy inversión 2015'!R37/$D37</f>
        <v>0.60000000000000009</v>
      </c>
      <c r="S37" s="34">
        <v>0.4</v>
      </c>
      <c r="T37" s="173"/>
      <c r="U37" s="191"/>
    </row>
    <row r="38" spans="1:21" ht="12.75" customHeight="1">
      <c r="A38" s="173"/>
      <c r="B38" s="173"/>
      <c r="C38" s="43" t="s">
        <v>160</v>
      </c>
      <c r="D38" s="40">
        <v>1</v>
      </c>
      <c r="E38" s="39" t="s">
        <v>161</v>
      </c>
      <c r="F38" s="34">
        <f>+'Seguim Proy inversión 2015'!F38/$D38</f>
        <v>0</v>
      </c>
      <c r="G38" s="34">
        <f>+'Seguim Proy inversión 2015'!G38/$D38</f>
        <v>0</v>
      </c>
      <c r="H38" s="34">
        <f>+'Seguim Proy inversión 2015'!H38/$D38</f>
        <v>0</v>
      </c>
      <c r="I38" s="34">
        <f>+'Seguim Proy inversión 2015'!I38/$D38</f>
        <v>0</v>
      </c>
      <c r="J38" s="34">
        <f>+'Seguim Proy inversión 2015'!J38/$D38</f>
        <v>0</v>
      </c>
      <c r="K38" s="34">
        <f>+'Seguim Proy inversión 2015'!K38/$D38</f>
        <v>0.2</v>
      </c>
      <c r="L38" s="34">
        <f>+'Seguim Proy inversión 2015'!L38/$D38</f>
        <v>0.2</v>
      </c>
      <c r="M38" s="34">
        <f>+'Seguim Proy inversión 2015'!M38/$D38</f>
        <v>0.2</v>
      </c>
      <c r="N38" s="34">
        <f>+'Seguim Proy inversión 2015'!N38/$D38</f>
        <v>0.4</v>
      </c>
      <c r="O38" s="34">
        <f>+'Seguim Proy inversión 2015'!O38/$D38</f>
        <v>0.4</v>
      </c>
      <c r="P38" s="34">
        <f>+'Seguim Proy inversión 2015'!P38/$D38</f>
        <v>0.4</v>
      </c>
      <c r="Q38" s="34">
        <f>+'Seguim Proy inversión 2015'!Q38/$D38</f>
        <v>0.4</v>
      </c>
      <c r="R38" s="34">
        <f>+'Seguim Proy inversión 2015'!R38/$D38</f>
        <v>0.4</v>
      </c>
      <c r="S38" s="34">
        <v>0.1</v>
      </c>
      <c r="T38" s="173"/>
      <c r="U38" s="191"/>
    </row>
    <row r="39" spans="1:21" ht="12.75" customHeight="1">
      <c r="A39" s="173"/>
      <c r="B39" s="7">
        <v>787</v>
      </c>
      <c r="C39" s="7" t="s">
        <v>162</v>
      </c>
      <c r="D39" s="40">
        <v>2</v>
      </c>
      <c r="E39" s="39" t="s">
        <v>163</v>
      </c>
      <c r="F39" s="34">
        <f>+'Seguim Proy inversión 2015'!F39/$D39</f>
        <v>0</v>
      </c>
      <c r="G39" s="34">
        <f>+'Seguim Proy inversión 2015'!G39/$D39</f>
        <v>0</v>
      </c>
      <c r="H39" s="34">
        <f>+'Seguim Proy inversión 2015'!H39/$D39</f>
        <v>0</v>
      </c>
      <c r="I39" s="34">
        <f>+'Seguim Proy inversión 2015'!I39/$D39</f>
        <v>0</v>
      </c>
      <c r="J39" s="34">
        <f>+'Seguim Proy inversión 2015'!J39/$D39</f>
        <v>0</v>
      </c>
      <c r="K39" s="34">
        <f>+'Seguim Proy inversión 2015'!K39/$D39</f>
        <v>0.5</v>
      </c>
      <c r="L39" s="34">
        <f>+'Seguim Proy inversión 2015'!L39/$D39</f>
        <v>0</v>
      </c>
      <c r="M39" s="34">
        <f>+'Seguim Proy inversión 2015'!M39/$D39</f>
        <v>0</v>
      </c>
      <c r="N39" s="34">
        <f>+'Seguim Proy inversión 2015'!N39/$D39</f>
        <v>0.5</v>
      </c>
      <c r="O39" s="34">
        <f>+'Seguim Proy inversión 2015'!O39/$D39</f>
        <v>0.5</v>
      </c>
      <c r="P39" s="34">
        <f>+'Seguim Proy inversión 2015'!P39/$D39</f>
        <v>0.5</v>
      </c>
      <c r="Q39" s="34">
        <f>+'Seguim Proy inversión 2015'!Q39/$D39</f>
        <v>0.5</v>
      </c>
      <c r="R39" s="34">
        <f>+'Seguim Proy inversión 2015'!R39/$D39</f>
        <v>0.5</v>
      </c>
      <c r="S39" s="34">
        <v>1</v>
      </c>
      <c r="T39" s="7">
        <v>787</v>
      </c>
      <c r="U39" s="34">
        <f>+S39</f>
        <v>1</v>
      </c>
    </row>
    <row r="40" spans="1:21" ht="12.75" customHeight="1">
      <c r="A40" s="173"/>
      <c r="B40" s="173">
        <v>944</v>
      </c>
      <c r="C40" s="7" t="s">
        <v>164</v>
      </c>
      <c r="D40" s="40">
        <v>6</v>
      </c>
      <c r="E40" s="39" t="s">
        <v>165</v>
      </c>
      <c r="F40" s="34">
        <f>+'Seguim Proy inversión 2015'!F40/$D40</f>
        <v>0</v>
      </c>
      <c r="G40" s="34">
        <f>+'Seguim Proy inversión 2015'!G40/$D40</f>
        <v>0.33333333333333331</v>
      </c>
      <c r="H40" s="34">
        <f>+'Seguim Proy inversión 2015'!H40/$D40</f>
        <v>0.33333333333333331</v>
      </c>
      <c r="I40" s="34">
        <f>+'Seguim Proy inversión 2015'!I40/$D40</f>
        <v>0.33333333333333331</v>
      </c>
      <c r="J40" s="34">
        <f>+'Seguim Proy inversión 2015'!J40/$D40</f>
        <v>0.5</v>
      </c>
      <c r="K40" s="34">
        <f>+'Seguim Proy inversión 2015'!K40/$D40</f>
        <v>0.66666666666666663</v>
      </c>
      <c r="L40" s="34">
        <f>+'Seguim Proy inversión 2015'!L40/$D40</f>
        <v>0.66666666666666663</v>
      </c>
      <c r="M40" s="34">
        <f>+'Seguim Proy inversión 2015'!M40/$D40</f>
        <v>0.83333333333333337</v>
      </c>
      <c r="N40" s="34">
        <f>+'Seguim Proy inversión 2015'!N40/$D40</f>
        <v>0.83333333333333337</v>
      </c>
      <c r="O40" s="34">
        <f>+'Seguim Proy inversión 2015'!O40/$D40</f>
        <v>0.83333333333333337</v>
      </c>
      <c r="P40" s="34">
        <f>+'Seguim Proy inversión 2015'!P40/$D40</f>
        <v>1</v>
      </c>
      <c r="Q40" s="34">
        <f>+'Seguim Proy inversión 2015'!Q40/$D40</f>
        <v>1</v>
      </c>
      <c r="R40" s="34">
        <f>+'Seguim Proy inversión 2015'!R40/$D40</f>
        <v>1</v>
      </c>
      <c r="S40" s="34">
        <v>1</v>
      </c>
      <c r="T40" s="173">
        <v>944</v>
      </c>
      <c r="U40" s="191">
        <f>+R40*S40</f>
        <v>1</v>
      </c>
    </row>
    <row r="41" spans="1:21" ht="12.75" customHeight="1">
      <c r="A41" s="173"/>
      <c r="B41" s="173"/>
      <c r="C41" s="7" t="s">
        <v>166</v>
      </c>
      <c r="D41" s="38">
        <v>2800</v>
      </c>
      <c r="E41" s="39" t="s">
        <v>137</v>
      </c>
      <c r="F41" s="34">
        <f>+'Seguim Proy inversión 2015'!F41/$D41</f>
        <v>0</v>
      </c>
      <c r="G41" s="34">
        <f>+'Seguim Proy inversión 2015'!G41/$D41</f>
        <v>0</v>
      </c>
      <c r="H41" s="34">
        <f>+'Seguim Proy inversión 2015'!H41/$D41</f>
        <v>0</v>
      </c>
      <c r="I41" s="34">
        <f>+'Seguim Proy inversión 2015'!I41/$D41</f>
        <v>0</v>
      </c>
      <c r="J41" s="34">
        <f>+'Seguim Proy inversión 2015'!J41/$D41</f>
        <v>0</v>
      </c>
      <c r="K41" s="34">
        <f>+'Seguim Proy inversión 2015'!K41/$D41</f>
        <v>1.0714285714285714E-2</v>
      </c>
      <c r="L41" s="34">
        <f>+'Seguim Proy inversión 2015'!L41/$D41</f>
        <v>0</v>
      </c>
      <c r="M41" s="34">
        <f>+'Seguim Proy inversión 2015'!M41/$D41</f>
        <v>0</v>
      </c>
      <c r="N41" s="34">
        <f>+'Seguim Proy inversión 2015'!N41/$D41</f>
        <v>0</v>
      </c>
      <c r="O41" s="34">
        <f>+'Seguim Proy inversión 2015'!O41/$D41</f>
        <v>0</v>
      </c>
      <c r="P41" s="34">
        <f>+'Seguim Proy inversión 2015'!P41/$D41</f>
        <v>0</v>
      </c>
      <c r="Q41" s="34">
        <f>+'Seguim Proy inversión 2015'!Q41/$D41</f>
        <v>0</v>
      </c>
      <c r="R41" s="34" t="e">
        <f>+'Seguim Proy inversión 2015'!R41/$D41</f>
        <v>#VALUE!</v>
      </c>
      <c r="S41" s="34"/>
      <c r="T41" s="173"/>
      <c r="U41" s="191"/>
    </row>
    <row r="42" spans="1:21" ht="12.75" customHeight="1">
      <c r="A42" s="173"/>
      <c r="B42" s="173"/>
      <c r="C42" s="7" t="s">
        <v>168</v>
      </c>
      <c r="D42" s="40">
        <v>1</v>
      </c>
      <c r="E42" s="39" t="s">
        <v>169</v>
      </c>
      <c r="F42" s="34">
        <f>+'Seguim Proy inversión 2015'!F42/$D42</f>
        <v>0</v>
      </c>
      <c r="G42" s="34">
        <f>+'Seguim Proy inversión 2015'!G42/$D42</f>
        <v>0</v>
      </c>
      <c r="H42" s="34">
        <f>+'Seguim Proy inversión 2015'!H42/$D42</f>
        <v>0</v>
      </c>
      <c r="I42" s="34">
        <f>+'Seguim Proy inversión 2015'!I42/$D42</f>
        <v>0</v>
      </c>
      <c r="J42" s="34">
        <f>+'Seguim Proy inversión 2015'!J42/$D42</f>
        <v>0</v>
      </c>
      <c r="K42" s="34">
        <f>+'Seguim Proy inversión 2015'!K42/$D42</f>
        <v>0</v>
      </c>
      <c r="L42" s="34">
        <f>+'Seguim Proy inversión 2015'!L42/$D42</f>
        <v>0</v>
      </c>
      <c r="M42" s="34">
        <f>+'Seguim Proy inversión 2015'!M42/$D42</f>
        <v>0</v>
      </c>
      <c r="N42" s="34">
        <f>+'Seguim Proy inversión 2015'!N42/$D42</f>
        <v>0</v>
      </c>
      <c r="O42" s="34">
        <f>+'Seguim Proy inversión 2015'!O42/$D42</f>
        <v>0</v>
      </c>
      <c r="P42" s="34">
        <f>+'Seguim Proy inversión 2015'!P42/$D42</f>
        <v>0</v>
      </c>
      <c r="Q42" s="34">
        <f>+'Seguim Proy inversión 2015'!Q42/$D42</f>
        <v>0</v>
      </c>
      <c r="R42" s="34">
        <v>0</v>
      </c>
      <c r="S42" s="34"/>
      <c r="T42" s="173"/>
      <c r="U42" s="191"/>
    </row>
    <row r="43" spans="1:21" ht="12.75" customHeight="1">
      <c r="A43" s="173"/>
      <c r="B43" s="173">
        <v>784</v>
      </c>
      <c r="C43" s="7" t="s">
        <v>170</v>
      </c>
      <c r="D43" s="40">
        <v>1</v>
      </c>
      <c r="E43" s="39" t="s">
        <v>171</v>
      </c>
      <c r="F43" s="34">
        <f>+'Seguim Proy inversión 2015'!F43/$D43</f>
        <v>1</v>
      </c>
      <c r="G43" s="34">
        <f>+'Seguim Proy inversión 2015'!G43/$D43</f>
        <v>1</v>
      </c>
      <c r="H43" s="34">
        <f>+'Seguim Proy inversión 2015'!H43/$D43</f>
        <v>1</v>
      </c>
      <c r="I43" s="34">
        <f>+'Seguim Proy inversión 2015'!I43/$D43</f>
        <v>1</v>
      </c>
      <c r="J43" s="34">
        <f>+'Seguim Proy inversión 2015'!J43/$D43</f>
        <v>1</v>
      </c>
      <c r="K43" s="34">
        <f>+'Seguim Proy inversión 2015'!K43/$D43</f>
        <v>1</v>
      </c>
      <c r="L43" s="34">
        <f>+'Seguim Proy inversión 2015'!L43/$D43</f>
        <v>1</v>
      </c>
      <c r="M43" s="34">
        <f>+'Seguim Proy inversión 2015'!M43/$D43</f>
        <v>1</v>
      </c>
      <c r="N43" s="34">
        <f>+'Seguim Proy inversión 2015'!N43/$D43</f>
        <v>1</v>
      </c>
      <c r="O43" s="34">
        <f>+'Seguim Proy inversión 2015'!O43/$D43</f>
        <v>1</v>
      </c>
      <c r="P43" s="34">
        <f>+'Seguim Proy inversión 2015'!P43/$D43</f>
        <v>1</v>
      </c>
      <c r="Q43" s="34">
        <f>+'Seguim Proy inversión 2015'!Q43/$D43</f>
        <v>1</v>
      </c>
      <c r="R43" s="34">
        <f>+'Seguim Proy inversión 2015'!R43/$D43</f>
        <v>1</v>
      </c>
      <c r="S43" s="34">
        <v>0.30000000000000004</v>
      </c>
      <c r="T43" s="173">
        <v>784</v>
      </c>
      <c r="U43" s="191">
        <f>+R43*S43+R44*S44+R45*S45</f>
        <v>0.93500000000000005</v>
      </c>
    </row>
    <row r="44" spans="1:21" ht="12.75" customHeight="1">
      <c r="A44" s="173"/>
      <c r="B44" s="173"/>
      <c r="C44" s="7" t="s">
        <v>172</v>
      </c>
      <c r="D44" s="38">
        <v>2</v>
      </c>
      <c r="E44" s="39" t="s">
        <v>173</v>
      </c>
      <c r="F44" s="34">
        <f>+'Seguim Proy inversión 2015'!F44/$D44</f>
        <v>0.5</v>
      </c>
      <c r="G44" s="34">
        <f>+'Seguim Proy inversión 2015'!G44/$D44</f>
        <v>0.5</v>
      </c>
      <c r="H44" s="34">
        <f>+'Seguim Proy inversión 2015'!H44/$D44</f>
        <v>0.5</v>
      </c>
      <c r="I44" s="34">
        <f>+'Seguim Proy inversión 2015'!I44/$D44</f>
        <v>0.5</v>
      </c>
      <c r="J44" s="34">
        <f>+'Seguim Proy inversión 2015'!J44/$D44</f>
        <v>0.5</v>
      </c>
      <c r="K44" s="34">
        <f>+'Seguim Proy inversión 2015'!K44/$D44</f>
        <v>0.5</v>
      </c>
      <c r="L44" s="34">
        <f>+'Seguim Proy inversión 2015'!L44/$D44</f>
        <v>0.5</v>
      </c>
      <c r="M44" s="34">
        <f>+'Seguim Proy inversión 2015'!M44/$D44</f>
        <v>0.5</v>
      </c>
      <c r="N44" s="34">
        <f>+'Seguim Proy inversión 2015'!N44/$D44</f>
        <v>0.5</v>
      </c>
      <c r="O44" s="34">
        <f>+'Seguim Proy inversión 2015'!O44/$D44</f>
        <v>0.5</v>
      </c>
      <c r="P44" s="34">
        <f>+'Seguim Proy inversión 2015'!P44/$D44</f>
        <v>0.5</v>
      </c>
      <c r="Q44" s="34">
        <f>+'Seguim Proy inversión 2015'!Q44/$D44</f>
        <v>0.5</v>
      </c>
      <c r="R44" s="34">
        <f>+'Seguim Proy inversión 2015'!R44/$D44</f>
        <v>0.5</v>
      </c>
      <c r="S44" s="34">
        <v>0.1</v>
      </c>
      <c r="T44" s="173"/>
      <c r="U44" s="191"/>
    </row>
    <row r="45" spans="1:21" ht="12.75" customHeight="1">
      <c r="A45" s="173"/>
      <c r="B45" s="173"/>
      <c r="C45" s="7" t="s">
        <v>174</v>
      </c>
      <c r="D45" s="44">
        <v>0.8</v>
      </c>
      <c r="E45" s="39" t="s">
        <v>175</v>
      </c>
      <c r="F45" s="34">
        <f>+'Seguim Proy inversión 2015'!F45/$D45</f>
        <v>0</v>
      </c>
      <c r="G45" s="34">
        <f>+'Seguim Proy inversión 2015'!G45/$D45</f>
        <v>0</v>
      </c>
      <c r="H45" s="34">
        <f>+'Seguim Proy inversión 2015'!H45/$D45</f>
        <v>0.77499999999999991</v>
      </c>
      <c r="I45" s="34">
        <f>+'Seguim Proy inversión 2015'!I45/$D45</f>
        <v>0.77499999999999991</v>
      </c>
      <c r="J45" s="34">
        <f>+'Seguim Proy inversión 2015'!J45/$D45</f>
        <v>0.77499999999999991</v>
      </c>
      <c r="K45" s="34">
        <f>+'Seguim Proy inversión 2015'!K45/$D45</f>
        <v>0.85187499999999994</v>
      </c>
      <c r="L45" s="34">
        <f>+'Seguim Proy inversión 2015'!L45/$D45</f>
        <v>0</v>
      </c>
      <c r="M45" s="34">
        <f>+'Seguim Proy inversión 2015'!M45/$D45</f>
        <v>0</v>
      </c>
      <c r="N45" s="34">
        <f>+'Seguim Proy inversión 2015'!N45/$D45</f>
        <v>0.89249999999999996</v>
      </c>
      <c r="O45" s="34">
        <f>+'Seguim Proy inversión 2015'!O45/$D45</f>
        <v>0.88924999999999998</v>
      </c>
      <c r="P45" s="34">
        <f>+'Seguim Proy inversión 2015'!P45/$D45</f>
        <v>0.89249999999999996</v>
      </c>
      <c r="Q45" s="34">
        <f>+'Seguim Proy inversión 2015'!Q45/$D45</f>
        <v>0.97499999999999998</v>
      </c>
      <c r="R45" s="34">
        <f>+'Seguim Proy inversión 2015'!R45/$D45</f>
        <v>0.97499999999999998</v>
      </c>
      <c r="S45" s="34">
        <v>0.60000000000000009</v>
      </c>
      <c r="T45" s="173"/>
      <c r="U45" s="191"/>
    </row>
    <row r="46" spans="1:21" ht="12.75" customHeight="1">
      <c r="A46" s="173"/>
      <c r="B46" s="173">
        <v>794</v>
      </c>
      <c r="C46" s="7" t="s">
        <v>134</v>
      </c>
      <c r="D46" s="38">
        <v>1000000</v>
      </c>
      <c r="E46" s="39" t="s">
        <v>176</v>
      </c>
      <c r="F46" s="34">
        <f>+'Seguim Proy inversión 2015'!F46/$D46</f>
        <v>1.0103</v>
      </c>
      <c r="G46" s="34">
        <f>+'Seguim Proy inversión 2015'!G46/$D46</f>
        <v>1.0103</v>
      </c>
      <c r="H46" s="34">
        <f>+'Seguim Proy inversión 2015'!H46/$D46</f>
        <v>1.049018</v>
      </c>
      <c r="I46" s="34">
        <f>+'Seguim Proy inversión 2015'!I46/$D46</f>
        <v>1.084387</v>
      </c>
      <c r="J46" s="34">
        <f>+'Seguim Proy inversión 2015'!J46/$D46</f>
        <v>1.1150450000000001</v>
      </c>
      <c r="K46" s="34">
        <f>+'Seguim Proy inversión 2015'!K46/$D46</f>
        <v>1.156058</v>
      </c>
      <c r="L46" s="34">
        <f>+'Seguim Proy inversión 2015'!L46/$D46</f>
        <v>1.196407</v>
      </c>
      <c r="M46" s="34">
        <f>+'Seguim Proy inversión 2015'!M46/$D46</f>
        <v>1.2028000000000001</v>
      </c>
      <c r="N46" s="34">
        <f>+'Seguim Proy inversión 2015'!N46/$D46</f>
        <v>1.26478</v>
      </c>
      <c r="O46" s="34">
        <f>+'Seguim Proy inversión 2015'!O46/$D46</f>
        <v>1.307239</v>
      </c>
      <c r="P46" s="34">
        <f>+'Seguim Proy inversión 2015'!P46/$D46</f>
        <v>1.352792</v>
      </c>
      <c r="Q46" s="34">
        <f>+'Seguim Proy inversión 2015'!Q46/$D46</f>
        <v>1.3688</v>
      </c>
      <c r="R46" s="34">
        <f>+'Seguim Proy inversión 2015'!R46/$D46</f>
        <v>1.3688</v>
      </c>
      <c r="S46" s="34">
        <v>0.2</v>
      </c>
      <c r="T46" s="173">
        <v>794</v>
      </c>
      <c r="U46" s="191">
        <f>+R46*S46+R47*S47+R48*S48</f>
        <v>1.6901600000000001</v>
      </c>
    </row>
    <row r="47" spans="1:21" ht="12.75" customHeight="1">
      <c r="A47" s="173"/>
      <c r="B47" s="173"/>
      <c r="C47" s="7" t="s">
        <v>134</v>
      </c>
      <c r="D47" s="38">
        <v>3000</v>
      </c>
      <c r="E47" s="39" t="s">
        <v>177</v>
      </c>
      <c r="F47" s="34">
        <f>+'Seguim Proy inversión 2015'!F47/$D47</f>
        <v>2.4333333333333332E-2</v>
      </c>
      <c r="G47" s="34">
        <f>+'Seguim Proy inversión 2015'!G47/$D47</f>
        <v>2.9000000000000001E-2</v>
      </c>
      <c r="H47" s="34">
        <f>+'Seguim Proy inversión 2015'!H47/$D47</f>
        <v>4.8666666666666664E-2</v>
      </c>
      <c r="I47" s="34">
        <f>+'Seguim Proy inversión 2015'!I47/$D47</f>
        <v>4.3333333333333335E-2</v>
      </c>
      <c r="J47" s="34">
        <f>+'Seguim Proy inversión 2015'!J47/$D47</f>
        <v>0.11066666666666666</v>
      </c>
      <c r="K47" s="34">
        <f>+'Seguim Proy inversión 2015'!K47/$D47</f>
        <v>0.15533333333333332</v>
      </c>
      <c r="L47" s="34">
        <f>+'Seguim Proy inversión 2015'!L47/$D47</f>
        <v>0.14333333333333334</v>
      </c>
      <c r="M47" s="34">
        <f>+'Seguim Proy inversión 2015'!M47/$D47</f>
        <v>0.39633333333333332</v>
      </c>
      <c r="N47" s="34">
        <f>+'Seguim Proy inversión 2015'!N47/$D47</f>
        <v>0.29033333333333333</v>
      </c>
      <c r="O47" s="34">
        <f>+'Seguim Proy inversión 2015'!O47/$D47</f>
        <v>0.29266666666666669</v>
      </c>
      <c r="P47" s="34">
        <f>+'Seguim Proy inversión 2015'!P47/$D47</f>
        <v>0.27866666666666667</v>
      </c>
      <c r="Q47" s="34">
        <f>+'Seguim Proy inversión 2015'!Q47/$D47</f>
        <v>0.21466666666666667</v>
      </c>
      <c r="R47" s="34">
        <f>+'Seguim Proy inversión 2015'!R47/$D47</f>
        <v>2.0273333333333334</v>
      </c>
      <c r="S47" s="34">
        <v>0.60000000000000009</v>
      </c>
      <c r="T47" s="173"/>
      <c r="U47" s="191"/>
    </row>
    <row r="48" spans="1:21" ht="12.75" customHeight="1">
      <c r="A48" s="173"/>
      <c r="B48" s="173"/>
      <c r="C48" s="7" t="s">
        <v>178</v>
      </c>
      <c r="D48" s="38">
        <v>1</v>
      </c>
      <c r="E48" s="39" t="s">
        <v>179</v>
      </c>
      <c r="F48" s="34">
        <f>+'Seguim Proy inversión 2015'!F48/$D48</f>
        <v>1</v>
      </c>
      <c r="G48" s="34">
        <f>+'Seguim Proy inversión 2015'!G48/$D48</f>
        <v>1</v>
      </c>
      <c r="H48" s="34">
        <f>+'Seguim Proy inversión 2015'!H48/$D48</f>
        <v>1</v>
      </c>
      <c r="I48" s="34">
        <f>+'Seguim Proy inversión 2015'!I48/$D48</f>
        <v>1</v>
      </c>
      <c r="J48" s="34">
        <f>+'Seguim Proy inversión 2015'!J48/$D48</f>
        <v>1</v>
      </c>
      <c r="K48" s="34">
        <f>+'Seguim Proy inversión 2015'!K48/$D48</f>
        <v>1</v>
      </c>
      <c r="L48" s="34">
        <f>+'Seguim Proy inversión 2015'!L48/$D48</f>
        <v>1</v>
      </c>
      <c r="M48" s="34">
        <f>+'Seguim Proy inversión 2015'!M48/$D48</f>
        <v>1</v>
      </c>
      <c r="N48" s="34">
        <f>+'Seguim Proy inversión 2015'!N48/$D48</f>
        <v>1</v>
      </c>
      <c r="O48" s="34">
        <f>+'Seguim Proy inversión 2015'!O48/$D48</f>
        <v>1</v>
      </c>
      <c r="P48" s="34">
        <f>+'Seguim Proy inversión 2015'!P48/$D48</f>
        <v>1</v>
      </c>
      <c r="Q48" s="34">
        <f>+'Seguim Proy inversión 2015'!Q48/$D48</f>
        <v>1</v>
      </c>
      <c r="R48" s="34">
        <f>+'Seguim Proy inversión 2015'!R48/$D48</f>
        <v>1</v>
      </c>
      <c r="S48" s="34">
        <v>0.2</v>
      </c>
      <c r="T48" s="173"/>
      <c r="U48" s="191"/>
    </row>
    <row r="49" spans="1:21" ht="12.75" customHeight="1">
      <c r="A49" s="173"/>
      <c r="B49" s="173" t="s">
        <v>187</v>
      </c>
      <c r="C49" s="173"/>
      <c r="D49" s="173"/>
      <c r="E49" s="173"/>
      <c r="F49" s="46">
        <f t="shared" ref="F49:R49" si="0">SUM(F15:F48)/34</f>
        <v>0.19925745282323457</v>
      </c>
      <c r="G49" s="46">
        <f t="shared" si="0"/>
        <v>0.21501000273273266</v>
      </c>
      <c r="H49" s="46">
        <f t="shared" si="0"/>
        <v>0.32743691517441187</v>
      </c>
      <c r="I49" s="46">
        <f t="shared" si="0"/>
        <v>0.34836277051536019</v>
      </c>
      <c r="J49" s="46">
        <f t="shared" si="0"/>
        <v>0.39759762151338685</v>
      </c>
      <c r="K49" s="46">
        <f t="shared" si="0"/>
        <v>0.45299949022960428</v>
      </c>
      <c r="L49" s="46">
        <f t="shared" si="0"/>
        <v>0.46945012702196953</v>
      </c>
      <c r="M49" s="46">
        <f t="shared" si="0"/>
        <v>0.47092786338934983</v>
      </c>
      <c r="N49" s="46">
        <f t="shared" si="0"/>
        <v>0.50595677773596637</v>
      </c>
      <c r="O49" s="46">
        <f t="shared" si="0"/>
        <v>0.52660556836890526</v>
      </c>
      <c r="P49" s="46">
        <f t="shared" si="0"/>
        <v>0.52087540685633282</v>
      </c>
      <c r="Q49" s="46">
        <f t="shared" si="0"/>
        <v>0.53762944294584114</v>
      </c>
      <c r="R49" s="50" t="e">
        <f t="shared" si="0"/>
        <v>#VALUE!</v>
      </c>
      <c r="S49" s="50"/>
      <c r="T49" s="193">
        <f>+SUM(U15:U48)/10</f>
        <v>1.0802082209210853</v>
      </c>
      <c r="U49" s="193"/>
    </row>
    <row r="50" spans="1:21" ht="12.75" customHeight="1">
      <c r="A50" s="173"/>
      <c r="B50" s="173" t="s">
        <v>181</v>
      </c>
      <c r="C50" s="173"/>
      <c r="D50" s="173"/>
      <c r="E50" s="173"/>
      <c r="F50" s="46">
        <f>+F49</f>
        <v>0.19925745282323457</v>
      </c>
      <c r="G50" s="46">
        <f t="shared" ref="G50:M50" si="1">+F49+G49</f>
        <v>0.41426745555596722</v>
      </c>
      <c r="H50" s="46">
        <f t="shared" si="1"/>
        <v>0.5424469179071445</v>
      </c>
      <c r="I50" s="46">
        <f t="shared" si="1"/>
        <v>0.67579968568977211</v>
      </c>
      <c r="J50" s="46">
        <f t="shared" si="1"/>
        <v>0.74596039202874698</v>
      </c>
      <c r="K50" s="46">
        <f t="shared" si="1"/>
        <v>0.85059711174299113</v>
      </c>
      <c r="L50" s="46">
        <f t="shared" si="1"/>
        <v>0.92244961725157382</v>
      </c>
      <c r="M50" s="46">
        <f t="shared" si="1"/>
        <v>0.94037799041131942</v>
      </c>
      <c r="N50" s="46">
        <f>+N49-M49</f>
        <v>3.5028914346616535E-2</v>
      </c>
      <c r="O50" s="46">
        <f>+O49-N49</f>
        <v>2.0648790632938896E-2</v>
      </c>
      <c r="P50" s="46">
        <f>+P49-O49</f>
        <v>-5.7301615125724403E-3</v>
      </c>
      <c r="Q50" s="46">
        <f>+Q49-P49</f>
        <v>1.6754036089508317E-2</v>
      </c>
      <c r="R50" s="46" t="e">
        <f>+R49-Q49</f>
        <v>#VALUE!</v>
      </c>
      <c r="S50" s="46"/>
      <c r="T50" s="193" t="e">
        <f>+R50</f>
        <v>#VALUE!</v>
      </c>
      <c r="U50" s="193"/>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5"/>
    </row>
    <row r="52" spans="1:21" ht="30" customHeight="1">
      <c r="A52" s="175"/>
      <c r="B52" s="175"/>
      <c r="C52" s="175"/>
      <c r="D52" s="175"/>
      <c r="E52" s="175"/>
      <c r="F52" s="175"/>
      <c r="G52" s="175"/>
      <c r="H52" s="175"/>
      <c r="I52" s="175"/>
      <c r="J52" s="175"/>
      <c r="K52" s="175"/>
      <c r="L52" s="175"/>
      <c r="M52" s="175"/>
      <c r="N52" s="176"/>
      <c r="O52" s="176"/>
      <c r="P52" s="176"/>
      <c r="Q52" s="176"/>
      <c r="R52" s="176"/>
      <c r="S52" s="176"/>
      <c r="T52" s="176"/>
      <c r="U52" s="176"/>
    </row>
    <row r="53" spans="1:21" ht="36.6" customHeight="1">
      <c r="A53" s="21"/>
      <c r="B53" s="21"/>
      <c r="C53" s="21"/>
      <c r="D53" s="21"/>
      <c r="E53" s="21"/>
      <c r="F53" s="21"/>
      <c r="G53" s="21"/>
      <c r="H53" s="21"/>
      <c r="I53" s="21"/>
      <c r="J53" s="21"/>
      <c r="K53" s="22"/>
      <c r="L53" s="22"/>
      <c r="M53" s="22"/>
      <c r="N53" s="177" t="s">
        <v>182</v>
      </c>
      <c r="O53" s="177"/>
      <c r="P53" s="177"/>
      <c r="Q53" s="177"/>
      <c r="R53" s="177"/>
      <c r="S53" s="177"/>
      <c r="T53" s="177"/>
      <c r="U53" s="177"/>
    </row>
    <row r="54" spans="1:21" ht="36.6" customHeight="1">
      <c r="A54" s="21"/>
      <c r="B54" s="21"/>
      <c r="C54" s="21"/>
      <c r="D54" s="21"/>
      <c r="E54" s="21"/>
      <c r="F54" s="21"/>
      <c r="G54" s="21"/>
      <c r="H54" s="21"/>
      <c r="I54" s="21"/>
      <c r="J54" s="21"/>
      <c r="K54" s="22"/>
      <c r="L54" s="22"/>
      <c r="M54" s="22"/>
      <c r="N54" s="173" t="s">
        <v>26</v>
      </c>
      <c r="O54" s="173"/>
      <c r="P54" s="173"/>
      <c r="Q54" s="173"/>
      <c r="R54" s="173"/>
      <c r="S54" s="173"/>
      <c r="T54" s="173"/>
      <c r="U54" s="173"/>
    </row>
    <row r="55" spans="1:21" ht="36.6" customHeight="1">
      <c r="A55" s="21"/>
      <c r="B55" s="21"/>
      <c r="C55" s="21"/>
      <c r="D55" s="21"/>
      <c r="E55" s="21"/>
      <c r="F55" s="21"/>
      <c r="G55" s="21"/>
      <c r="H55" s="21"/>
      <c r="I55" s="21"/>
      <c r="J55" s="21"/>
      <c r="K55" s="22"/>
      <c r="L55" s="22"/>
      <c r="M55" s="22"/>
      <c r="N55" s="173" t="s">
        <v>27</v>
      </c>
      <c r="O55" s="173"/>
      <c r="P55" s="173"/>
      <c r="Q55" s="173"/>
      <c r="R55" s="173"/>
      <c r="S55" s="173"/>
      <c r="T55" s="173"/>
      <c r="U55" s="173"/>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T15:T16"/>
    <mergeCell ref="U15:U16"/>
    <mergeCell ref="B17:B18"/>
    <mergeCell ref="T17:T18"/>
    <mergeCell ref="U17:U18"/>
    <mergeCell ref="B19:B21"/>
    <mergeCell ref="T19:T21"/>
    <mergeCell ref="U19:U21"/>
    <mergeCell ref="B22:B29"/>
    <mergeCell ref="T22:T29"/>
    <mergeCell ref="U22:U29"/>
    <mergeCell ref="B30:B34"/>
    <mergeCell ref="T30:T34"/>
    <mergeCell ref="U30:U34"/>
    <mergeCell ref="B35:B38"/>
    <mergeCell ref="T35:T38"/>
    <mergeCell ref="U35:U38"/>
    <mergeCell ref="B40:B42"/>
    <mergeCell ref="T40:T42"/>
    <mergeCell ref="U40:U42"/>
    <mergeCell ref="B43:B45"/>
    <mergeCell ref="T43:T45"/>
    <mergeCell ref="U43:U45"/>
    <mergeCell ref="B46:B48"/>
    <mergeCell ref="T46:T48"/>
    <mergeCell ref="U46:U48"/>
    <mergeCell ref="N53:U53"/>
    <mergeCell ref="N54:U54"/>
    <mergeCell ref="N55:U55"/>
    <mergeCell ref="B49:E49"/>
    <mergeCell ref="T49:U49"/>
    <mergeCell ref="B50:E50"/>
    <mergeCell ref="T50:U50"/>
    <mergeCell ref="A52:M52"/>
    <mergeCell ref="N52:U52"/>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9"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85546875" style="1" customWidth="1"/>
    <col min="6" max="10" width="12.42578125" style="1" customWidth="1"/>
    <col min="11" max="14" width="10.7109375" style="1" customWidth="1"/>
    <col min="15" max="16" width="10.28515625" style="1" customWidth="1"/>
    <col min="17" max="17" width="10.7109375" style="1" customWidth="1"/>
    <col min="18" max="18" width="13.140625" style="1" customWidth="1"/>
    <col min="19" max="19" width="10.7109375" style="1" customWidth="1"/>
    <col min="20" max="21" width="12.140625" style="1" customWidth="1"/>
    <col min="22" max="22" width="2.7109375" style="1" customWidth="1"/>
    <col min="23"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c r="U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c r="U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c r="U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c r="U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c r="U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c r="U6" s="179"/>
    </row>
    <row r="7" spans="1:256" s="3" customFormat="1" ht="12.75" customHeight="1">
      <c r="A7" s="180"/>
      <c r="B7" s="180"/>
      <c r="C7" s="180"/>
      <c r="D7" s="180"/>
      <c r="E7" s="180"/>
      <c r="F7" s="180"/>
      <c r="G7" s="180"/>
      <c r="H7" s="180"/>
      <c r="I7" s="180"/>
      <c r="J7" s="180"/>
      <c r="K7" s="180"/>
      <c r="L7" s="180"/>
      <c r="M7" s="180"/>
      <c r="N7" s="180"/>
      <c r="O7" s="180"/>
      <c r="P7" s="180"/>
      <c r="Q7" s="180"/>
      <c r="R7" s="180"/>
      <c r="S7" s="180"/>
      <c r="T7" s="180"/>
      <c r="U7" s="180"/>
    </row>
    <row r="8" spans="1:256" ht="30" customHeight="1">
      <c r="A8" s="174" t="s">
        <v>2</v>
      </c>
      <c r="B8" s="174"/>
      <c r="C8" s="174"/>
      <c r="D8" s="174"/>
      <c r="E8" s="174"/>
      <c r="F8" s="174"/>
      <c r="G8" s="174"/>
      <c r="H8" s="174"/>
      <c r="I8" s="174"/>
      <c r="J8" s="174"/>
      <c r="K8" s="174"/>
      <c r="L8" s="174"/>
      <c r="M8" s="174"/>
      <c r="N8" s="174"/>
      <c r="O8" s="174"/>
      <c r="P8" s="174"/>
      <c r="Q8" s="174"/>
      <c r="R8" s="174"/>
      <c r="S8" s="174"/>
      <c r="T8" s="174"/>
      <c r="U8" s="174"/>
    </row>
    <row r="9" spans="1:256" ht="42" customHeight="1">
      <c r="A9" s="177" t="s">
        <v>3</v>
      </c>
      <c r="B9" s="177"/>
      <c r="C9" s="177"/>
      <c r="D9" s="177"/>
      <c r="E9" s="177"/>
      <c r="F9" s="177"/>
      <c r="G9" s="178" t="s">
        <v>110</v>
      </c>
      <c r="H9" s="178"/>
      <c r="I9" s="178"/>
      <c r="J9" s="178"/>
      <c r="K9" s="178"/>
      <c r="L9" s="178"/>
      <c r="M9" s="177" t="s">
        <v>5</v>
      </c>
      <c r="N9" s="177"/>
      <c r="O9" s="177"/>
      <c r="P9" s="186" t="s">
        <v>111</v>
      </c>
      <c r="Q9" s="186"/>
      <c r="R9" s="186"/>
      <c r="S9" s="186"/>
      <c r="T9" s="186"/>
      <c r="U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c r="T10" s="186"/>
      <c r="U10" s="186"/>
    </row>
    <row r="11" spans="1:256" ht="52.9" customHeight="1">
      <c r="A11" s="177" t="s">
        <v>11</v>
      </c>
      <c r="B11" s="177"/>
      <c r="C11" s="177"/>
      <c r="D11" s="177"/>
      <c r="E11" s="177"/>
      <c r="F11" s="177"/>
      <c r="G11" s="178" t="s">
        <v>112</v>
      </c>
      <c r="H11" s="178"/>
      <c r="I11" s="178"/>
      <c r="J11" s="178"/>
      <c r="K11" s="178"/>
      <c r="L11" s="178"/>
      <c r="M11" s="177" t="s">
        <v>13</v>
      </c>
      <c r="N11" s="177"/>
      <c r="O11" s="177"/>
      <c r="P11" s="186" t="s">
        <v>33</v>
      </c>
      <c r="Q11" s="186"/>
      <c r="R11" s="186"/>
      <c r="S11" s="186"/>
      <c r="T11" s="186"/>
      <c r="U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113</v>
      </c>
      <c r="B13" s="174"/>
      <c r="C13" s="174"/>
      <c r="D13" s="174"/>
      <c r="E13" s="174"/>
      <c r="F13" s="174"/>
      <c r="G13" s="174"/>
      <c r="H13" s="174"/>
      <c r="I13" s="174"/>
      <c r="J13" s="174"/>
      <c r="K13" s="174"/>
      <c r="L13" s="174"/>
      <c r="M13" s="174"/>
      <c r="N13" s="174"/>
      <c r="O13" s="174"/>
      <c r="P13" s="174"/>
      <c r="Q13" s="174"/>
      <c r="R13" s="174"/>
      <c r="S13" s="174"/>
      <c r="T13" s="174"/>
      <c r="U13" s="174"/>
    </row>
    <row r="14" spans="1:256" ht="30" customHeight="1">
      <c r="A14" s="4" t="s">
        <v>53</v>
      </c>
      <c r="B14" s="4" t="s">
        <v>114</v>
      </c>
      <c r="C14" s="6" t="s">
        <v>115</v>
      </c>
      <c r="D14" s="6" t="s">
        <v>116</v>
      </c>
      <c r="E14" s="6" t="s">
        <v>117</v>
      </c>
      <c r="F14" s="6" t="s">
        <v>55</v>
      </c>
      <c r="G14" s="4" t="s">
        <v>56</v>
      </c>
      <c r="H14" s="4" t="s">
        <v>57</v>
      </c>
      <c r="I14" s="4" t="s">
        <v>58</v>
      </c>
      <c r="J14" s="4" t="s">
        <v>59</v>
      </c>
      <c r="K14" s="4" t="s">
        <v>60</v>
      </c>
      <c r="L14" s="4" t="s">
        <v>61</v>
      </c>
      <c r="M14" s="4" t="s">
        <v>62</v>
      </c>
      <c r="N14" s="4" t="s">
        <v>63</v>
      </c>
      <c r="O14" s="4" t="s">
        <v>64</v>
      </c>
      <c r="P14" s="4" t="s">
        <v>65</v>
      </c>
      <c r="Q14" s="4" t="s">
        <v>66</v>
      </c>
      <c r="R14" s="4" t="s">
        <v>118</v>
      </c>
      <c r="S14" s="4" t="s">
        <v>114</v>
      </c>
      <c r="T14" s="4" t="s">
        <v>119</v>
      </c>
      <c r="U14" s="4" t="s">
        <v>120</v>
      </c>
    </row>
    <row r="15" spans="1:256" ht="15" customHeight="1">
      <c r="A15" s="173">
        <v>2016</v>
      </c>
      <c r="B15" s="173">
        <v>914</v>
      </c>
      <c r="C15" s="7" t="s">
        <v>121</v>
      </c>
      <c r="D15" s="38">
        <v>92000</v>
      </c>
      <c r="E15" s="39" t="s">
        <v>122</v>
      </c>
      <c r="F15" s="9">
        <v>0</v>
      </c>
      <c r="G15" s="9">
        <v>221</v>
      </c>
      <c r="H15" s="9">
        <v>15463</v>
      </c>
      <c r="I15" s="9">
        <v>17677</v>
      </c>
      <c r="J15" s="9">
        <v>9524</v>
      </c>
      <c r="K15" s="9"/>
      <c r="L15" s="9"/>
      <c r="M15" s="9"/>
      <c r="N15" s="9"/>
      <c r="O15" s="9"/>
      <c r="P15" s="9"/>
      <c r="Q15" s="9"/>
      <c r="R15" s="9">
        <f>SUM(F15:J15)</f>
        <v>42885</v>
      </c>
      <c r="S15" s="173">
        <v>914</v>
      </c>
      <c r="T15" s="34">
        <f t="shared" ref="T15:T21" si="0">+R15/D15</f>
        <v>0.46614130434782608</v>
      </c>
      <c r="U15" s="192">
        <f>+(T15+T16)/2</f>
        <v>0.76432065217391298</v>
      </c>
    </row>
    <row r="16" spans="1:256" ht="28.5" customHeight="1">
      <c r="A16" s="173"/>
      <c r="B16" s="173"/>
      <c r="C16" s="7" t="s">
        <v>123</v>
      </c>
      <c r="D16" s="40">
        <v>80</v>
      </c>
      <c r="E16" s="39" t="s">
        <v>124</v>
      </c>
      <c r="F16" s="45">
        <f>11+1+66</f>
        <v>78</v>
      </c>
      <c r="G16" s="45">
        <f>11+1+66</f>
        <v>78</v>
      </c>
      <c r="H16" s="45">
        <f>11+1+71</f>
        <v>83</v>
      </c>
      <c r="I16" s="45">
        <f>11+1+71</f>
        <v>83</v>
      </c>
      <c r="J16" s="45">
        <f>11+2+1+71</f>
        <v>85</v>
      </c>
      <c r="K16" s="9"/>
      <c r="L16" s="9"/>
      <c r="M16" s="9"/>
      <c r="N16" s="9"/>
      <c r="O16" s="9"/>
      <c r="P16" s="9"/>
      <c r="Q16" s="9"/>
      <c r="R16" s="9">
        <f>MAX(F16,G16,H16,I16,J16,K16,L16,M16,N16,O16,P16,Q16)</f>
        <v>85</v>
      </c>
      <c r="S16" s="173"/>
      <c r="T16" s="34">
        <f t="shared" si="0"/>
        <v>1.0625</v>
      </c>
      <c r="U16" s="192"/>
    </row>
    <row r="17" spans="1:21" ht="30" customHeight="1">
      <c r="A17" s="173"/>
      <c r="B17" s="173">
        <v>915</v>
      </c>
      <c r="C17" s="7" t="s">
        <v>125</v>
      </c>
      <c r="D17" s="38">
        <v>65216</v>
      </c>
      <c r="E17" s="39" t="s">
        <v>126</v>
      </c>
      <c r="F17" s="9">
        <v>0</v>
      </c>
      <c r="G17" s="9">
        <v>39093</v>
      </c>
      <c r="H17" s="9">
        <v>40947</v>
      </c>
      <c r="I17" s="9">
        <v>47122</v>
      </c>
      <c r="J17" s="9">
        <v>48935</v>
      </c>
      <c r="K17" s="9"/>
      <c r="L17" s="9"/>
      <c r="M17" s="9"/>
      <c r="N17" s="9"/>
      <c r="O17" s="9"/>
      <c r="P17" s="9"/>
      <c r="Q17" s="9"/>
      <c r="R17" s="9">
        <f>MAX(F17,G17,H17,I17,J17,K17,L17,M17,N17,O17,P17,Q17)</f>
        <v>48935</v>
      </c>
      <c r="S17" s="173">
        <v>915</v>
      </c>
      <c r="T17" s="34">
        <f t="shared" si="0"/>
        <v>0.75035267419038276</v>
      </c>
      <c r="U17" s="192">
        <f>+T17*0.7+T18*0.3</f>
        <v>0.94063148731788349</v>
      </c>
    </row>
    <row r="18" spans="1:21" ht="30" customHeight="1">
      <c r="A18" s="173"/>
      <c r="B18" s="173"/>
      <c r="C18" s="7" t="s">
        <v>127</v>
      </c>
      <c r="D18" s="40">
        <v>26</v>
      </c>
      <c r="E18" s="39" t="s">
        <v>128</v>
      </c>
      <c r="F18" s="9">
        <v>0</v>
      </c>
      <c r="G18" s="9">
        <v>0</v>
      </c>
      <c r="H18" s="9">
        <v>12</v>
      </c>
      <c r="I18" s="9">
        <v>10</v>
      </c>
      <c r="J18" s="9">
        <v>14</v>
      </c>
      <c r="K18" s="9"/>
      <c r="L18" s="9"/>
      <c r="M18" s="9"/>
      <c r="N18" s="9"/>
      <c r="O18" s="9"/>
      <c r="P18" s="9"/>
      <c r="Q18" s="9"/>
      <c r="R18" s="9">
        <f>+SUM(F18:J18)</f>
        <v>36</v>
      </c>
      <c r="S18" s="173"/>
      <c r="T18" s="34">
        <f t="shared" si="0"/>
        <v>1.3846153846153846</v>
      </c>
      <c r="U18" s="192"/>
    </row>
    <row r="19" spans="1:21" ht="15" customHeight="1">
      <c r="A19" s="173"/>
      <c r="B19" s="173">
        <v>772</v>
      </c>
      <c r="C19" s="7" t="s">
        <v>129</v>
      </c>
      <c r="D19" s="40">
        <v>6</v>
      </c>
      <c r="E19" s="39" t="s">
        <v>130</v>
      </c>
      <c r="F19" s="9">
        <v>2</v>
      </c>
      <c r="G19" s="9">
        <v>0</v>
      </c>
      <c r="H19" s="9">
        <v>0</v>
      </c>
      <c r="I19" s="9">
        <v>1</v>
      </c>
      <c r="J19" s="9">
        <v>0</v>
      </c>
      <c r="K19" s="9"/>
      <c r="L19" s="9"/>
      <c r="M19" s="9"/>
      <c r="N19" s="9"/>
      <c r="O19" s="9"/>
      <c r="P19" s="9"/>
      <c r="Q19" s="9"/>
      <c r="R19" s="9">
        <f t="shared" ref="R19:R25" si="1">SUM(F19:J19)</f>
        <v>3</v>
      </c>
      <c r="S19" s="173">
        <v>772</v>
      </c>
      <c r="T19" s="34">
        <f t="shared" si="0"/>
        <v>0.5</v>
      </c>
      <c r="U19" s="192">
        <f>+(T19+T20+T21)/3</f>
        <v>0.5</v>
      </c>
    </row>
    <row r="20" spans="1:21" ht="15" customHeight="1">
      <c r="A20" s="173"/>
      <c r="B20" s="173"/>
      <c r="C20" s="7" t="s">
        <v>131</v>
      </c>
      <c r="D20" s="40">
        <v>5</v>
      </c>
      <c r="E20" s="39" t="s">
        <v>132</v>
      </c>
      <c r="F20" s="9">
        <v>0</v>
      </c>
      <c r="G20" s="9">
        <v>0</v>
      </c>
      <c r="H20" s="9">
        <v>3</v>
      </c>
      <c r="I20" s="9">
        <v>2</v>
      </c>
      <c r="J20" s="9">
        <v>0</v>
      </c>
      <c r="K20" s="9"/>
      <c r="L20" s="9"/>
      <c r="M20" s="9"/>
      <c r="N20" s="9"/>
      <c r="O20" s="9"/>
      <c r="P20" s="9"/>
      <c r="Q20" s="9"/>
      <c r="R20" s="9">
        <f t="shared" si="1"/>
        <v>5</v>
      </c>
      <c r="S20" s="173"/>
      <c r="T20" s="34">
        <f t="shared" si="0"/>
        <v>1</v>
      </c>
      <c r="U20" s="192"/>
    </row>
    <row r="21" spans="1:21" ht="15" customHeight="1">
      <c r="A21" s="173"/>
      <c r="B21" s="173"/>
      <c r="C21" s="7" t="s">
        <v>131</v>
      </c>
      <c r="D21" s="40">
        <v>2</v>
      </c>
      <c r="E21" s="39" t="s">
        <v>133</v>
      </c>
      <c r="F21" s="9">
        <v>0</v>
      </c>
      <c r="G21" s="9">
        <v>0</v>
      </c>
      <c r="H21" s="9">
        <v>0</v>
      </c>
      <c r="I21" s="9">
        <v>0</v>
      </c>
      <c r="J21" s="9">
        <v>0</v>
      </c>
      <c r="K21" s="9"/>
      <c r="L21" s="9"/>
      <c r="M21" s="9"/>
      <c r="N21" s="9"/>
      <c r="O21" s="9"/>
      <c r="P21" s="9"/>
      <c r="Q21" s="9"/>
      <c r="R21" s="9">
        <f t="shared" si="1"/>
        <v>0</v>
      </c>
      <c r="S21" s="173"/>
      <c r="T21" s="34">
        <f t="shared" si="0"/>
        <v>0</v>
      </c>
      <c r="U21" s="192"/>
    </row>
    <row r="22" spans="1:21" ht="15" customHeight="1">
      <c r="A22" s="173"/>
      <c r="B22" s="173">
        <v>795</v>
      </c>
      <c r="C22" s="7" t="s">
        <v>134</v>
      </c>
      <c r="D22" s="40">
        <v>1140000</v>
      </c>
      <c r="E22" s="39" t="s">
        <v>135</v>
      </c>
      <c r="F22" s="9">
        <v>12088</v>
      </c>
      <c r="G22" s="9">
        <v>5317</v>
      </c>
      <c r="H22" s="9">
        <v>216500</v>
      </c>
      <c r="I22" s="9">
        <v>29071</v>
      </c>
      <c r="J22" s="9">
        <v>14811</v>
      </c>
      <c r="K22" s="9"/>
      <c r="L22" s="9"/>
      <c r="M22" s="9"/>
      <c r="N22" s="9"/>
      <c r="O22" s="9"/>
      <c r="P22" s="9"/>
      <c r="Q22" s="9"/>
      <c r="R22" s="9">
        <f t="shared" si="1"/>
        <v>277787</v>
      </c>
      <c r="S22" s="173">
        <v>795</v>
      </c>
      <c r="T22" s="34">
        <f>+(1051971+1048011+1680645+1738401+R22)/(D22*4)</f>
        <v>1.2712313596491227</v>
      </c>
      <c r="U22" s="192">
        <f>+(T22+T23+T24+T25+T26+T27+T29)/7</f>
        <v>1.077612858411837</v>
      </c>
    </row>
    <row r="23" spans="1:21" ht="12.75" customHeight="1">
      <c r="A23" s="173"/>
      <c r="B23" s="173"/>
      <c r="C23" s="7" t="s">
        <v>136</v>
      </c>
      <c r="D23" s="40">
        <v>260000</v>
      </c>
      <c r="E23" s="39" t="s">
        <v>137</v>
      </c>
      <c r="F23" s="9">
        <v>0</v>
      </c>
      <c r="G23" s="9">
        <v>0</v>
      </c>
      <c r="H23" s="9">
        <v>2779</v>
      </c>
      <c r="I23" s="9">
        <v>0</v>
      </c>
      <c r="J23" s="9">
        <v>13385</v>
      </c>
      <c r="K23" s="9"/>
      <c r="L23" s="9"/>
      <c r="M23" s="9"/>
      <c r="N23" s="9"/>
      <c r="O23" s="9"/>
      <c r="P23" s="9"/>
      <c r="Q23" s="9"/>
      <c r="R23" s="9">
        <f t="shared" si="1"/>
        <v>16164</v>
      </c>
      <c r="S23" s="173"/>
      <c r="T23" s="34">
        <f>+(258674+278530+448820+133390+R23)/(D23*4)</f>
        <v>1.0919019230769231</v>
      </c>
      <c r="U23" s="192"/>
    </row>
    <row r="24" spans="1:21" ht="12.75" customHeight="1">
      <c r="A24" s="173"/>
      <c r="B24" s="173"/>
      <c r="C24" s="7" t="s">
        <v>138</v>
      </c>
      <c r="D24" s="40">
        <v>10000</v>
      </c>
      <c r="E24" s="39" t="s">
        <v>139</v>
      </c>
      <c r="F24" s="9">
        <v>560</v>
      </c>
      <c r="G24" s="9">
        <v>175</v>
      </c>
      <c r="H24" s="9">
        <v>498</v>
      </c>
      <c r="I24" s="9">
        <v>653</v>
      </c>
      <c r="J24" s="9">
        <v>308</v>
      </c>
      <c r="K24" s="9"/>
      <c r="L24" s="9"/>
      <c r="M24" s="9"/>
      <c r="N24" s="9"/>
      <c r="O24" s="9"/>
      <c r="P24" s="9"/>
      <c r="Q24" s="9"/>
      <c r="R24" s="9">
        <f t="shared" si="1"/>
        <v>2194</v>
      </c>
      <c r="S24" s="173"/>
      <c r="T24" s="34">
        <f>+(9686+9658+14148+18248+R24)/(D24*4)</f>
        <v>1.3483499999999999</v>
      </c>
      <c r="U24" s="192"/>
    </row>
    <row r="25" spans="1:21" ht="12.75" customHeight="1">
      <c r="A25" s="173"/>
      <c r="B25" s="173"/>
      <c r="C25" s="7" t="s">
        <v>131</v>
      </c>
      <c r="D25" s="38">
        <v>20</v>
      </c>
      <c r="E25" s="39" t="s">
        <v>140</v>
      </c>
      <c r="F25" s="9">
        <v>0</v>
      </c>
      <c r="G25" s="9">
        <v>0</v>
      </c>
      <c r="H25" s="9">
        <v>10</v>
      </c>
      <c r="I25" s="9">
        <v>33</v>
      </c>
      <c r="J25" s="9">
        <v>123</v>
      </c>
      <c r="K25" s="9"/>
      <c r="L25" s="9"/>
      <c r="M25" s="9"/>
      <c r="N25" s="9"/>
      <c r="O25" s="9"/>
      <c r="P25" s="9"/>
      <c r="Q25" s="9"/>
      <c r="R25" s="45">
        <f t="shared" si="1"/>
        <v>166</v>
      </c>
      <c r="S25" s="173"/>
      <c r="T25" s="34">
        <f>2583/2486</f>
        <v>1.0390185036202735</v>
      </c>
      <c r="U25" s="192"/>
    </row>
    <row r="26" spans="1:21" ht="12.75" customHeight="1">
      <c r="A26" s="173"/>
      <c r="B26" s="173"/>
      <c r="C26" s="7" t="s">
        <v>141</v>
      </c>
      <c r="D26" s="41">
        <v>0.2</v>
      </c>
      <c r="E26" s="39" t="s">
        <v>142</v>
      </c>
      <c r="F26" s="9">
        <v>0</v>
      </c>
      <c r="G26" s="9">
        <v>0</v>
      </c>
      <c r="H26" s="9">
        <v>0</v>
      </c>
      <c r="I26" s="9">
        <v>0</v>
      </c>
      <c r="J26" s="48">
        <v>0.06</v>
      </c>
      <c r="K26" s="9"/>
      <c r="L26" s="9"/>
      <c r="M26" s="9"/>
      <c r="N26" s="9"/>
      <c r="O26" s="9"/>
      <c r="P26" s="9"/>
      <c r="Q26" s="9"/>
      <c r="R26" s="34">
        <f>MAX(F26,G26,H26,I26,J26,K26,L26,M26,N26,O26,P26,Q26)</f>
        <v>0.06</v>
      </c>
      <c r="S26" s="173"/>
      <c r="T26" s="34">
        <f>+(((1.2785)*(1.2)*(1+R26)-1)/3)/D26</f>
        <v>1.0437533333333333</v>
      </c>
      <c r="U26" s="192"/>
    </row>
    <row r="27" spans="1:21" ht="12.75" customHeight="1">
      <c r="A27" s="173"/>
      <c r="B27" s="173"/>
      <c r="C27" s="43" t="s">
        <v>143</v>
      </c>
      <c r="D27" s="38">
        <v>20930</v>
      </c>
      <c r="E27" s="39" t="s">
        <v>137</v>
      </c>
      <c r="F27" s="9">
        <v>3393</v>
      </c>
      <c r="G27" s="9">
        <v>2869</v>
      </c>
      <c r="H27" s="9">
        <v>4109</v>
      </c>
      <c r="I27" s="9">
        <v>17065</v>
      </c>
      <c r="J27" s="9">
        <v>4023</v>
      </c>
      <c r="K27" s="9"/>
      <c r="L27" s="9"/>
      <c r="M27" s="9"/>
      <c r="N27" s="9"/>
      <c r="O27" s="9"/>
      <c r="P27" s="9"/>
      <c r="Q27" s="9"/>
      <c r="R27" s="9">
        <f>SUM(F27:J27)</f>
        <v>31459</v>
      </c>
      <c r="S27" s="173"/>
      <c r="T27" s="34">
        <f>+(45548+65050+71165+100307+R27)/303000</f>
        <v>1.0347491749174917</v>
      </c>
      <c r="U27" s="192"/>
    </row>
    <row r="28" spans="1:21" ht="12.75" customHeight="1">
      <c r="A28" s="173"/>
      <c r="B28" s="173"/>
      <c r="C28" s="43" t="s">
        <v>144</v>
      </c>
      <c r="D28" s="40">
        <v>0</v>
      </c>
      <c r="E28" s="39" t="s">
        <v>145</v>
      </c>
      <c r="F28" s="45">
        <v>0</v>
      </c>
      <c r="G28" s="45">
        <v>0</v>
      </c>
      <c r="H28" s="45">
        <v>0</v>
      </c>
      <c r="I28" s="45">
        <v>0</v>
      </c>
      <c r="J28" s="45">
        <v>0</v>
      </c>
      <c r="K28" s="9"/>
      <c r="L28" s="9"/>
      <c r="M28" s="9"/>
      <c r="N28" s="9"/>
      <c r="O28" s="9"/>
      <c r="P28" s="9"/>
      <c r="Q28" s="9"/>
      <c r="R28" s="9">
        <f>MAX(F28,G28,H28,I28,J28,K28,L28,M28,N28,O28,P28,Q28)</f>
        <v>0</v>
      </c>
      <c r="S28" s="173"/>
      <c r="T28" s="34" t="s">
        <v>188</v>
      </c>
      <c r="U28" s="192"/>
    </row>
    <row r="29" spans="1:21" ht="12.75" customHeight="1">
      <c r="A29" s="173"/>
      <c r="B29" s="173"/>
      <c r="C29" s="43" t="s">
        <v>146</v>
      </c>
      <c r="D29" s="40">
        <v>7</v>
      </c>
      <c r="E29" s="39" t="s">
        <v>147</v>
      </c>
      <c r="F29" s="45">
        <v>0</v>
      </c>
      <c r="G29" s="45">
        <v>0</v>
      </c>
      <c r="H29" s="45">
        <v>0</v>
      </c>
      <c r="I29" s="45">
        <v>0</v>
      </c>
      <c r="J29" s="45">
        <v>0</v>
      </c>
      <c r="K29" s="9"/>
      <c r="L29" s="9"/>
      <c r="M29" s="9"/>
      <c r="N29" s="9"/>
      <c r="O29" s="9"/>
      <c r="P29" s="9"/>
      <c r="Q29" s="9"/>
      <c r="R29" s="9">
        <f>MAX(F29,G29,H29,I29,J29,K29,L29,M29,N29,O29,P29,Q29)</f>
        <v>0</v>
      </c>
      <c r="S29" s="173"/>
      <c r="T29" s="34">
        <f>5/7</f>
        <v>0.7142857142857143</v>
      </c>
      <c r="U29" s="192"/>
    </row>
    <row r="30" spans="1:21" ht="12.75" customHeight="1">
      <c r="A30" s="173"/>
      <c r="B30" s="173">
        <v>783</v>
      </c>
      <c r="C30" s="43" t="s">
        <v>148</v>
      </c>
      <c r="D30" s="38">
        <v>2</v>
      </c>
      <c r="E30" s="39" t="s">
        <v>149</v>
      </c>
      <c r="F30" s="9">
        <v>2</v>
      </c>
      <c r="G30" s="9">
        <v>2</v>
      </c>
      <c r="H30" s="9">
        <v>2</v>
      </c>
      <c r="I30" s="9">
        <v>2</v>
      </c>
      <c r="J30" s="9">
        <v>2</v>
      </c>
      <c r="K30" s="9"/>
      <c r="L30" s="9"/>
      <c r="M30" s="9"/>
      <c r="N30" s="9"/>
      <c r="O30" s="9"/>
      <c r="P30" s="9"/>
      <c r="Q30" s="9"/>
      <c r="R30" s="9">
        <f>MAX(F30,G30,H30,I30,J30,K30,L30,M30,N30,O30,P30,Q30)</f>
        <v>2</v>
      </c>
      <c r="S30" s="173">
        <v>783</v>
      </c>
      <c r="T30" s="34">
        <f>+R30/D30</f>
        <v>1</v>
      </c>
      <c r="U30" s="192">
        <f>+(T30+T31+T32+T33+T34)/5</f>
        <v>1.1783915748640137</v>
      </c>
    </row>
    <row r="31" spans="1:21" ht="12.75" customHeight="1">
      <c r="A31" s="173"/>
      <c r="B31" s="173"/>
      <c r="C31" s="7" t="s">
        <v>150</v>
      </c>
      <c r="D31" s="51">
        <v>0.499</v>
      </c>
      <c r="E31" s="39" t="s">
        <v>151</v>
      </c>
      <c r="F31" s="9">
        <v>0</v>
      </c>
      <c r="G31" s="9">
        <v>0</v>
      </c>
      <c r="H31" s="9">
        <v>0</v>
      </c>
      <c r="I31" s="9">
        <v>0</v>
      </c>
      <c r="J31" s="48">
        <v>0.41560000000000002</v>
      </c>
      <c r="K31" s="9"/>
      <c r="L31" s="34"/>
      <c r="M31" s="9"/>
      <c r="N31" s="9"/>
      <c r="O31" s="9"/>
      <c r="P31" s="9"/>
      <c r="Q31" s="9"/>
      <c r="R31" s="34">
        <f>MAX(F31,G31,H31,I31,J31,K31,L31,M31,N31,O31,P31,Q31)</f>
        <v>0.41560000000000002</v>
      </c>
      <c r="S31" s="173"/>
      <c r="T31" s="34">
        <f>+R31/D31</f>
        <v>0.83286573146292586</v>
      </c>
      <c r="U31" s="192"/>
    </row>
    <row r="32" spans="1:21" ht="47.25" customHeight="1">
      <c r="A32" s="173"/>
      <c r="B32" s="173"/>
      <c r="C32" s="43" t="s">
        <v>152</v>
      </c>
      <c r="D32" s="38">
        <v>300000</v>
      </c>
      <c r="E32" s="39" t="s">
        <v>137</v>
      </c>
      <c r="F32" s="9">
        <v>32506</v>
      </c>
      <c r="G32" s="9">
        <v>16161</v>
      </c>
      <c r="H32" s="9">
        <v>39015</v>
      </c>
      <c r="I32" s="9">
        <v>23974</v>
      </c>
      <c r="J32" s="9">
        <v>31864</v>
      </c>
      <c r="K32" s="9"/>
      <c r="L32" s="9"/>
      <c r="M32" s="9"/>
      <c r="N32" s="9"/>
      <c r="O32" s="9"/>
      <c r="P32" s="9"/>
      <c r="Q32" s="9"/>
      <c r="R32" s="9">
        <f>SUM(F32:J32)</f>
        <v>143520</v>
      </c>
      <c r="S32" s="173"/>
      <c r="T32" s="34">
        <f>+R32/D32*12/5</f>
        <v>1.1481600000000001</v>
      </c>
      <c r="U32" s="192"/>
    </row>
    <row r="33" spans="1:21" ht="12.75" customHeight="1">
      <c r="A33" s="173"/>
      <c r="B33" s="173"/>
      <c r="C33" s="43" t="s">
        <v>186</v>
      </c>
      <c r="D33" s="38">
        <v>280000</v>
      </c>
      <c r="E33" s="39" t="s">
        <v>137</v>
      </c>
      <c r="F33" s="9">
        <v>2326</v>
      </c>
      <c r="G33" s="9">
        <v>6542</v>
      </c>
      <c r="H33" s="9">
        <v>43776</v>
      </c>
      <c r="I33" s="9">
        <v>42504</v>
      </c>
      <c r="J33" s="9">
        <v>33937</v>
      </c>
      <c r="K33" s="9"/>
      <c r="L33" s="9"/>
      <c r="M33" s="9"/>
      <c r="N33" s="9"/>
      <c r="O33" s="9"/>
      <c r="P33" s="9"/>
      <c r="Q33" s="9"/>
      <c r="R33" s="9">
        <f>SUM(F33:J33)</f>
        <v>129085</v>
      </c>
      <c r="S33" s="173"/>
      <c r="T33" s="34">
        <f>+(277543+489625+437144+490223+R33)/(D33*4)</f>
        <v>1.6282321428571429</v>
      </c>
      <c r="U33" s="192"/>
    </row>
    <row r="34" spans="1:21" ht="12.75" customHeight="1">
      <c r="A34" s="173"/>
      <c r="B34" s="173"/>
      <c r="C34" s="7" t="s">
        <v>138</v>
      </c>
      <c r="D34" s="38">
        <v>2500</v>
      </c>
      <c r="E34" s="39" t="s">
        <v>154</v>
      </c>
      <c r="F34" s="9">
        <v>241</v>
      </c>
      <c r="G34" s="9">
        <v>394</v>
      </c>
      <c r="H34" s="9">
        <v>521</v>
      </c>
      <c r="I34" s="9">
        <v>564</v>
      </c>
      <c r="J34" s="9">
        <v>1051</v>
      </c>
      <c r="K34" s="9"/>
      <c r="L34" s="9"/>
      <c r="M34" s="9"/>
      <c r="N34" s="9"/>
      <c r="O34" s="9"/>
      <c r="P34" s="9"/>
      <c r="Q34" s="9"/>
      <c r="R34" s="9">
        <f>SUM(F34:J34)</f>
        <v>2771</v>
      </c>
      <c r="S34" s="173"/>
      <c r="T34" s="34">
        <f>+(688+2846+3751+R34+R34)/(D34*4)</f>
        <v>1.2827</v>
      </c>
      <c r="U34" s="192"/>
    </row>
    <row r="35" spans="1:21" ht="12.75" customHeight="1">
      <c r="A35" s="173"/>
      <c r="B35" s="173">
        <v>792</v>
      </c>
      <c r="C35" s="7" t="s">
        <v>155</v>
      </c>
      <c r="D35" s="40">
        <v>8</v>
      </c>
      <c r="E35" s="39" t="s">
        <v>156</v>
      </c>
      <c r="F35" s="9">
        <v>8</v>
      </c>
      <c r="G35" s="9">
        <v>8</v>
      </c>
      <c r="H35" s="9">
        <v>8</v>
      </c>
      <c r="I35" s="9">
        <v>8</v>
      </c>
      <c r="J35" s="9">
        <v>8</v>
      </c>
      <c r="K35" s="9"/>
      <c r="L35" s="9"/>
      <c r="M35" s="9"/>
      <c r="N35" s="9"/>
      <c r="O35" s="9"/>
      <c r="P35" s="9"/>
      <c r="Q35" s="9"/>
      <c r="R35" s="9">
        <f>MAX(F35,G35,H35,I35,J35,K35,L35,M35,N35,O35,P35,Q35)</f>
        <v>8</v>
      </c>
      <c r="S35" s="173">
        <v>792</v>
      </c>
      <c r="T35" s="34">
        <f>+R35/D35</f>
        <v>1</v>
      </c>
      <c r="U35" s="192">
        <f>+(T35+T36+T37+T38)/4</f>
        <v>0.68499999999999994</v>
      </c>
    </row>
    <row r="36" spans="1:21" ht="12.75" customHeight="1">
      <c r="A36" s="173"/>
      <c r="B36" s="173"/>
      <c r="C36" s="7" t="s">
        <v>155</v>
      </c>
      <c r="D36" s="40">
        <v>2</v>
      </c>
      <c r="E36" s="39" t="s">
        <v>157</v>
      </c>
      <c r="F36" s="9">
        <v>2</v>
      </c>
      <c r="G36" s="9">
        <v>2</v>
      </c>
      <c r="H36" s="9">
        <v>2</v>
      </c>
      <c r="I36" s="9">
        <v>2</v>
      </c>
      <c r="J36" s="9">
        <v>2</v>
      </c>
      <c r="K36" s="9"/>
      <c r="L36" s="9"/>
      <c r="M36" s="9"/>
      <c r="N36" s="9"/>
      <c r="O36" s="9"/>
      <c r="P36" s="9"/>
      <c r="Q36" s="9"/>
      <c r="R36" s="9">
        <f>MAX(F36,G36,H36,I36,J36,K36,L36,M36,N36,O36,P36,Q36)</f>
        <v>2</v>
      </c>
      <c r="S36" s="173"/>
      <c r="T36" s="34">
        <f>+R36/D36</f>
        <v>1</v>
      </c>
      <c r="U36" s="192"/>
    </row>
    <row r="37" spans="1:21" ht="12.75" customHeight="1">
      <c r="A37" s="173"/>
      <c r="B37" s="173"/>
      <c r="C37" s="7" t="s">
        <v>158</v>
      </c>
      <c r="D37" s="44">
        <v>1</v>
      </c>
      <c r="E37" s="39" t="s">
        <v>159</v>
      </c>
      <c r="F37" s="9"/>
      <c r="G37" s="9"/>
      <c r="H37" s="9"/>
      <c r="I37" s="9"/>
      <c r="J37" s="34">
        <v>0.34</v>
      </c>
      <c r="K37" s="9"/>
      <c r="L37" s="9"/>
      <c r="M37" s="9"/>
      <c r="N37" s="9"/>
      <c r="O37" s="9"/>
      <c r="P37" s="9"/>
      <c r="Q37" s="9"/>
      <c r="R37" s="34">
        <f>MAX(F37,G37,H37,I37,J37,K37,L37,M37,N37,O37,P37,Q37)</f>
        <v>0.34</v>
      </c>
      <c r="S37" s="173"/>
      <c r="T37" s="34">
        <f>+R37/D37</f>
        <v>0.34</v>
      </c>
      <c r="U37" s="192"/>
    </row>
    <row r="38" spans="1:21" ht="12.75" customHeight="1">
      <c r="A38" s="173"/>
      <c r="B38" s="173"/>
      <c r="C38" s="43" t="s">
        <v>160</v>
      </c>
      <c r="D38" s="40">
        <v>1</v>
      </c>
      <c r="E38" s="39" t="s">
        <v>161</v>
      </c>
      <c r="F38" s="9"/>
      <c r="G38" s="9"/>
      <c r="H38" s="9"/>
      <c r="I38" s="9"/>
      <c r="J38" s="34">
        <v>0.4</v>
      </c>
      <c r="K38" s="9"/>
      <c r="L38" s="9"/>
      <c r="M38" s="9"/>
      <c r="N38" s="9"/>
      <c r="O38" s="9"/>
      <c r="P38" s="9"/>
      <c r="Q38" s="9"/>
      <c r="R38" s="34">
        <f>MAX(F38,G38,H38,I38,J38,K38,L38,M38,N38,O38,P38,Q38)</f>
        <v>0.4</v>
      </c>
      <c r="S38" s="173"/>
      <c r="T38" s="34">
        <f>+R38/D38</f>
        <v>0.4</v>
      </c>
      <c r="U38" s="192"/>
    </row>
    <row r="39" spans="1:21" ht="12.75" customHeight="1">
      <c r="A39" s="173"/>
      <c r="B39" s="7">
        <v>787</v>
      </c>
      <c r="C39" s="7" t="s">
        <v>162</v>
      </c>
      <c r="D39" s="40">
        <v>1</v>
      </c>
      <c r="E39" s="39" t="s">
        <v>163</v>
      </c>
      <c r="F39" s="9"/>
      <c r="G39" s="9"/>
      <c r="H39" s="9"/>
      <c r="I39" s="9"/>
      <c r="J39" s="9">
        <v>0</v>
      </c>
      <c r="K39" s="9"/>
      <c r="L39" s="9"/>
      <c r="M39" s="9"/>
      <c r="N39" s="9"/>
      <c r="O39" s="9"/>
      <c r="P39" s="9"/>
      <c r="Q39" s="9"/>
      <c r="R39" s="9">
        <v>0</v>
      </c>
      <c r="S39" s="7">
        <v>787</v>
      </c>
      <c r="T39" s="34">
        <f>5/6</f>
        <v>0.83333333333333337</v>
      </c>
      <c r="U39" s="34">
        <f>+T39</f>
        <v>0.83333333333333337</v>
      </c>
    </row>
    <row r="40" spans="1:21" ht="12.75" customHeight="1">
      <c r="A40" s="173"/>
      <c r="B40" s="173">
        <v>944</v>
      </c>
      <c r="C40" s="7" t="s">
        <v>164</v>
      </c>
      <c r="D40" s="40">
        <v>6</v>
      </c>
      <c r="E40" s="39" t="s">
        <v>165</v>
      </c>
      <c r="F40" s="9">
        <v>0</v>
      </c>
      <c r="G40" s="9">
        <v>0</v>
      </c>
      <c r="H40" s="9">
        <v>0</v>
      </c>
      <c r="I40" s="9">
        <v>3</v>
      </c>
      <c r="J40" s="9">
        <v>3</v>
      </c>
      <c r="K40" s="9"/>
      <c r="L40" s="9"/>
      <c r="M40" s="9"/>
      <c r="N40" s="9"/>
      <c r="O40" s="9"/>
      <c r="P40" s="9"/>
      <c r="Q40" s="9"/>
      <c r="R40" s="9">
        <f>SUM(F40:J40)</f>
        <v>6</v>
      </c>
      <c r="S40" s="173">
        <v>944</v>
      </c>
      <c r="T40" s="34">
        <f t="shared" ref="T40:T45" si="2">+R40/D40</f>
        <v>1</v>
      </c>
      <c r="U40" s="192">
        <f>+T40</f>
        <v>1</v>
      </c>
    </row>
    <row r="41" spans="1:21" ht="12.75" customHeight="1">
      <c r="A41" s="173"/>
      <c r="B41" s="173"/>
      <c r="C41" s="7" t="s">
        <v>166</v>
      </c>
      <c r="D41" s="38">
        <v>1200</v>
      </c>
      <c r="E41" s="39" t="s">
        <v>137</v>
      </c>
      <c r="F41" s="45"/>
      <c r="G41" s="45"/>
      <c r="H41" s="45"/>
      <c r="I41" s="45"/>
      <c r="J41" s="45"/>
      <c r="K41" s="9"/>
      <c r="L41" s="9"/>
      <c r="M41" s="9"/>
      <c r="N41" s="9"/>
      <c r="O41" s="9"/>
      <c r="P41" s="9"/>
      <c r="Q41" s="9"/>
      <c r="R41" s="9">
        <f t="shared" ref="R41:R46" si="3">MAX(F41,G41,H41,I41,J41,K41,L41,M41,N41,O41,P41,Q41)</f>
        <v>0</v>
      </c>
      <c r="S41" s="173"/>
      <c r="T41" s="34">
        <f t="shared" si="2"/>
        <v>0</v>
      </c>
      <c r="U41" s="192"/>
    </row>
    <row r="42" spans="1:21" ht="12.75" customHeight="1">
      <c r="A42" s="173"/>
      <c r="B42" s="173"/>
      <c r="C42" s="7" t="s">
        <v>168</v>
      </c>
      <c r="D42" s="40">
        <v>1</v>
      </c>
      <c r="E42" s="39" t="s">
        <v>169</v>
      </c>
      <c r="F42" s="9"/>
      <c r="G42" s="9"/>
      <c r="H42" s="9"/>
      <c r="I42" s="9"/>
      <c r="J42" s="9"/>
      <c r="K42" s="9"/>
      <c r="L42" s="9"/>
      <c r="M42" s="9"/>
      <c r="N42" s="9"/>
      <c r="O42" s="9"/>
      <c r="P42" s="9"/>
      <c r="Q42" s="9"/>
      <c r="R42" s="9">
        <f t="shared" si="3"/>
        <v>0</v>
      </c>
      <c r="S42" s="173"/>
      <c r="T42" s="34">
        <f t="shared" si="2"/>
        <v>0</v>
      </c>
      <c r="U42" s="192"/>
    </row>
    <row r="43" spans="1:21" ht="12.75" customHeight="1">
      <c r="A43" s="173"/>
      <c r="B43" s="173">
        <v>784</v>
      </c>
      <c r="C43" s="7" t="s">
        <v>170</v>
      </c>
      <c r="D43" s="40">
        <v>1</v>
      </c>
      <c r="E43" s="39" t="s">
        <v>171</v>
      </c>
      <c r="F43" s="9">
        <v>1</v>
      </c>
      <c r="G43" s="9">
        <v>1</v>
      </c>
      <c r="H43" s="9">
        <v>1</v>
      </c>
      <c r="I43" s="9">
        <v>1</v>
      </c>
      <c r="J43" s="9">
        <v>1</v>
      </c>
      <c r="K43" s="9"/>
      <c r="L43" s="9"/>
      <c r="M43" s="9"/>
      <c r="N43" s="9"/>
      <c r="O43" s="9"/>
      <c r="P43" s="9"/>
      <c r="Q43" s="9"/>
      <c r="R43" s="9">
        <f t="shared" si="3"/>
        <v>1</v>
      </c>
      <c r="S43" s="173">
        <v>784</v>
      </c>
      <c r="T43" s="34">
        <f t="shared" si="2"/>
        <v>1</v>
      </c>
      <c r="U43" s="192">
        <f>+(T43+T44+T45)/3</f>
        <v>0.93666666666666665</v>
      </c>
    </row>
    <row r="44" spans="1:21" ht="12.75" customHeight="1">
      <c r="A44" s="173"/>
      <c r="B44" s="173"/>
      <c r="C44" s="7" t="s">
        <v>172</v>
      </c>
      <c r="D44" s="38">
        <v>2</v>
      </c>
      <c r="E44" s="39" t="s">
        <v>173</v>
      </c>
      <c r="F44" s="9">
        <v>2</v>
      </c>
      <c r="G44" s="9">
        <v>2</v>
      </c>
      <c r="H44" s="9">
        <v>2</v>
      </c>
      <c r="I44" s="9">
        <v>2</v>
      </c>
      <c r="J44" s="9">
        <v>2</v>
      </c>
      <c r="K44" s="9"/>
      <c r="L44" s="9"/>
      <c r="M44" s="9"/>
      <c r="N44" s="9"/>
      <c r="O44" s="9"/>
      <c r="P44" s="9"/>
      <c r="Q44" s="9"/>
      <c r="R44" s="9">
        <f t="shared" si="3"/>
        <v>2</v>
      </c>
      <c r="S44" s="173"/>
      <c r="T44" s="34">
        <f t="shared" si="2"/>
        <v>1</v>
      </c>
      <c r="U44" s="192"/>
    </row>
    <row r="45" spans="1:21" ht="12.75" customHeight="1">
      <c r="A45" s="173"/>
      <c r="B45" s="173"/>
      <c r="C45" s="7" t="s">
        <v>174</v>
      </c>
      <c r="D45" s="44">
        <v>1</v>
      </c>
      <c r="E45" s="39" t="s">
        <v>175</v>
      </c>
      <c r="F45" s="9">
        <v>0</v>
      </c>
      <c r="G45" s="9">
        <v>0</v>
      </c>
      <c r="H45" s="9">
        <v>0.78</v>
      </c>
      <c r="I45" s="9">
        <v>0.78</v>
      </c>
      <c r="J45" s="9">
        <v>0.81</v>
      </c>
      <c r="K45" s="9"/>
      <c r="L45" s="9"/>
      <c r="M45" s="9"/>
      <c r="N45" s="9"/>
      <c r="O45" s="9"/>
      <c r="P45" s="9"/>
      <c r="Q45" s="9"/>
      <c r="R45" s="34">
        <f t="shared" si="3"/>
        <v>0.81</v>
      </c>
      <c r="S45" s="173"/>
      <c r="T45" s="34">
        <f t="shared" si="2"/>
        <v>0.81</v>
      </c>
      <c r="U45" s="192"/>
    </row>
    <row r="46" spans="1:21" ht="12.75" customHeight="1">
      <c r="A46" s="173"/>
      <c r="B46" s="173">
        <v>794</v>
      </c>
      <c r="C46" s="7" t="s">
        <v>134</v>
      </c>
      <c r="D46" s="38">
        <v>1000000</v>
      </c>
      <c r="E46" s="39" t="s">
        <v>176</v>
      </c>
      <c r="F46" s="32">
        <v>1377771</v>
      </c>
      <c r="G46" s="32">
        <v>1419263</v>
      </c>
      <c r="H46" s="32">
        <v>1445252</v>
      </c>
      <c r="I46" s="32">
        <v>1445332</v>
      </c>
      <c r="J46" s="32">
        <v>1505203</v>
      </c>
      <c r="K46" s="9"/>
      <c r="L46" s="9"/>
      <c r="M46" s="9"/>
      <c r="N46" s="9"/>
      <c r="O46" s="9"/>
      <c r="P46" s="9"/>
      <c r="Q46" s="9"/>
      <c r="R46" s="9">
        <f t="shared" si="3"/>
        <v>1505203</v>
      </c>
      <c r="S46" s="173">
        <v>794</v>
      </c>
      <c r="T46" s="34">
        <f>+(8332+615155+986126+1368800+R46)/(D46*4)</f>
        <v>1.1209039999999999</v>
      </c>
      <c r="U46" s="192">
        <f>+(T46+T47+T48)/3</f>
        <v>1.1226346666666667</v>
      </c>
    </row>
    <row r="47" spans="1:21" ht="12.75" customHeight="1">
      <c r="A47" s="173"/>
      <c r="B47" s="173"/>
      <c r="C47" s="7" t="s">
        <v>134</v>
      </c>
      <c r="D47" s="38">
        <v>3000</v>
      </c>
      <c r="E47" s="39" t="s">
        <v>177</v>
      </c>
      <c r="F47" s="9">
        <v>7</v>
      </c>
      <c r="G47" s="9">
        <v>80</v>
      </c>
      <c r="H47" s="9">
        <v>37</v>
      </c>
      <c r="I47" s="9">
        <v>166</v>
      </c>
      <c r="J47" s="9">
        <v>190</v>
      </c>
      <c r="K47" s="9"/>
      <c r="L47" s="9"/>
      <c r="M47" s="9"/>
      <c r="N47" s="9"/>
      <c r="O47" s="9"/>
      <c r="P47" s="9"/>
      <c r="Q47" s="9"/>
      <c r="R47" s="9">
        <f>SUM(F47:J47)</f>
        <v>480</v>
      </c>
      <c r="S47" s="173"/>
      <c r="T47" s="34">
        <f>+(1852+2855+3695+6082+R47)/(D47*4)</f>
        <v>1.2470000000000001</v>
      </c>
      <c r="U47" s="192"/>
    </row>
    <row r="48" spans="1:21" ht="12.75" customHeight="1">
      <c r="A48" s="173"/>
      <c r="B48" s="173"/>
      <c r="C48" s="7" t="s">
        <v>178</v>
      </c>
      <c r="D48" s="38">
        <v>1</v>
      </c>
      <c r="E48" s="39" t="s">
        <v>179</v>
      </c>
      <c r="F48" s="9">
        <v>1</v>
      </c>
      <c r="G48" s="9">
        <v>1</v>
      </c>
      <c r="H48" s="9">
        <v>1</v>
      </c>
      <c r="I48" s="9">
        <v>1</v>
      </c>
      <c r="J48" s="9">
        <v>1</v>
      </c>
      <c r="K48" s="9"/>
      <c r="L48" s="9"/>
      <c r="M48" s="9"/>
      <c r="N48" s="9"/>
      <c r="O48" s="9"/>
      <c r="P48" s="9"/>
      <c r="Q48" s="9"/>
      <c r="R48" s="9">
        <f>MAX(F48,G48,H48,I48,J48,K48,L48,M48,N48,O48,P48,Q48)</f>
        <v>1</v>
      </c>
      <c r="S48" s="173"/>
      <c r="T48" s="34">
        <f>+R48/D48</f>
        <v>1</v>
      </c>
      <c r="U48" s="192"/>
    </row>
    <row r="49" spans="1:21" ht="12.75" customHeight="1">
      <c r="A49" s="173"/>
      <c r="B49" s="173" t="s">
        <v>180</v>
      </c>
      <c r="C49" s="173"/>
      <c r="D49" s="173"/>
      <c r="E49" s="173"/>
      <c r="F49" s="46"/>
      <c r="G49" s="46"/>
      <c r="H49" s="46"/>
      <c r="I49" s="46"/>
      <c r="J49" s="46"/>
      <c r="K49" s="46"/>
      <c r="L49" s="46"/>
      <c r="M49" s="46"/>
      <c r="N49" s="46"/>
      <c r="O49" s="46"/>
      <c r="P49" s="46"/>
      <c r="Q49" s="46"/>
      <c r="R49" s="46" t="e">
        <f>+(R15/$D$15+R16/$D$16+R17/$D$17+R18/$D$18+R19/$D$19+R20/$D$20+R21/$D$21+R22/$D$22+R23/$D$23+R24/$D$24+R25/$D$25+R26/$D$26+R27/$D$27+R28/$D$28+R29/$D$29+R30/$D$30+R31/$D$31+R32/$D$32+R33/$D$33+R34/$D$34+R35/$D$35+R36/$D$36+R37/$D$37+R38/$D$38+R39/$D$39+R40/$D$40+R41/$D$41+R42/$D$42+R43/$D$43+R44/$D$44+R45/$D$45+R46/$D$46+R47/$D$47+R48/$D$48)/34</f>
        <v>#DIV/0!</v>
      </c>
      <c r="S49" s="191">
        <f>SUM(T15:T48)/34</f>
        <v>0.86323807587323087</v>
      </c>
      <c r="T49" s="191"/>
      <c r="U49" s="191"/>
    </row>
    <row r="50" spans="1:21" ht="12.75" customHeight="1">
      <c r="A50" s="173"/>
      <c r="B50" s="173" t="s">
        <v>181</v>
      </c>
      <c r="C50" s="173"/>
      <c r="D50" s="173"/>
      <c r="E50" s="173"/>
      <c r="F50" s="46">
        <f>+F49</f>
        <v>0</v>
      </c>
      <c r="G50" s="46">
        <f t="shared" ref="G50:N50" si="4">+F49+G49</f>
        <v>0</v>
      </c>
      <c r="H50" s="46">
        <f t="shared" si="4"/>
        <v>0</v>
      </c>
      <c r="I50" s="46">
        <f t="shared" si="4"/>
        <v>0</v>
      </c>
      <c r="J50" s="46">
        <f t="shared" si="4"/>
        <v>0</v>
      </c>
      <c r="K50" s="46">
        <f t="shared" si="4"/>
        <v>0</v>
      </c>
      <c r="L50" s="46">
        <f t="shared" si="4"/>
        <v>0</v>
      </c>
      <c r="M50" s="46">
        <f t="shared" si="4"/>
        <v>0</v>
      </c>
      <c r="N50" s="46">
        <f t="shared" si="4"/>
        <v>0</v>
      </c>
      <c r="O50" s="46">
        <f>+O49-N49</f>
        <v>0</v>
      </c>
      <c r="P50" s="46">
        <f>+P49-O49</f>
        <v>0</v>
      </c>
      <c r="Q50" s="46">
        <f>+Q49-P49</f>
        <v>0</v>
      </c>
      <c r="R50" s="46" t="e">
        <f>+R49-Q49</f>
        <v>#DIV/0!</v>
      </c>
      <c r="S50" s="191">
        <f>+(U15+U17+U19+U22+U30+U35+U39+U40+U43+U46)/10</f>
        <v>0.90385912394343126</v>
      </c>
      <c r="T50" s="191"/>
      <c r="U50" s="191"/>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5"/>
    </row>
    <row r="52" spans="1:21" ht="30" customHeight="1">
      <c r="A52" s="175"/>
      <c r="B52" s="175"/>
      <c r="C52" s="175"/>
      <c r="D52" s="175"/>
      <c r="E52" s="175"/>
      <c r="F52" s="175"/>
      <c r="G52" s="175"/>
      <c r="H52" s="175"/>
      <c r="I52" s="175"/>
      <c r="J52" s="175"/>
      <c r="K52" s="175"/>
      <c r="L52" s="175"/>
      <c r="M52" s="175"/>
      <c r="N52" s="176"/>
      <c r="O52" s="176"/>
      <c r="P52" s="176"/>
      <c r="Q52" s="176"/>
      <c r="R52" s="176"/>
      <c r="S52" s="176"/>
      <c r="T52" s="176"/>
      <c r="U52" s="176"/>
    </row>
    <row r="53" spans="1:21" ht="36.6" customHeight="1">
      <c r="A53" s="16"/>
      <c r="B53" s="17"/>
      <c r="C53" s="17"/>
      <c r="D53" s="17"/>
      <c r="E53" s="17"/>
      <c r="F53" s="17"/>
      <c r="G53" s="17"/>
      <c r="H53" s="17"/>
      <c r="I53" s="17"/>
      <c r="J53" s="17"/>
      <c r="K53" s="18"/>
      <c r="L53" s="18"/>
      <c r="M53" s="19"/>
      <c r="N53" s="177" t="s">
        <v>182</v>
      </c>
      <c r="O53" s="177"/>
      <c r="P53" s="177"/>
      <c r="Q53" s="177"/>
      <c r="R53" s="177"/>
      <c r="S53" s="177"/>
      <c r="T53" s="177"/>
      <c r="U53" s="177"/>
    </row>
    <row r="54" spans="1:21" ht="36.6" customHeight="1">
      <c r="A54" s="20"/>
      <c r="B54" s="21"/>
      <c r="C54" s="21"/>
      <c r="D54" s="21"/>
      <c r="E54" s="21"/>
      <c r="F54" s="21"/>
      <c r="G54" s="21"/>
      <c r="H54" s="21"/>
      <c r="I54" s="21"/>
      <c r="J54" s="21"/>
      <c r="K54" s="22"/>
      <c r="L54" s="22"/>
      <c r="M54" s="23"/>
      <c r="N54" s="173" t="s">
        <v>26</v>
      </c>
      <c r="O54" s="173"/>
      <c r="P54" s="173"/>
      <c r="Q54" s="173"/>
      <c r="R54" s="173"/>
      <c r="S54" s="173"/>
      <c r="T54" s="173"/>
      <c r="U54" s="173"/>
    </row>
    <row r="55" spans="1:21" ht="36.6" customHeight="1">
      <c r="A55" s="24"/>
      <c r="B55" s="25"/>
      <c r="C55" s="25"/>
      <c r="D55" s="25"/>
      <c r="E55" s="25"/>
      <c r="F55" s="25"/>
      <c r="G55" s="25"/>
      <c r="H55" s="25"/>
      <c r="I55" s="25"/>
      <c r="J55" s="25"/>
      <c r="K55" s="26"/>
      <c r="L55" s="26"/>
      <c r="M55" s="27"/>
      <c r="N55" s="173" t="s">
        <v>27</v>
      </c>
      <c r="O55" s="173"/>
      <c r="P55" s="173"/>
      <c r="Q55" s="173"/>
      <c r="R55" s="173"/>
      <c r="S55" s="173"/>
      <c r="T55" s="173"/>
      <c r="U55" s="173"/>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S15:S16"/>
    <mergeCell ref="U15:U16"/>
    <mergeCell ref="B17:B18"/>
    <mergeCell ref="S17:S18"/>
    <mergeCell ref="U17:U18"/>
    <mergeCell ref="B19:B21"/>
    <mergeCell ref="S19:S21"/>
    <mergeCell ref="U19:U21"/>
    <mergeCell ref="B22:B29"/>
    <mergeCell ref="S22:S29"/>
    <mergeCell ref="U22:U29"/>
    <mergeCell ref="B30:B34"/>
    <mergeCell ref="S30:S34"/>
    <mergeCell ref="U30:U34"/>
    <mergeCell ref="B35:B38"/>
    <mergeCell ref="S35:S38"/>
    <mergeCell ref="U35:U38"/>
    <mergeCell ref="B40:B42"/>
    <mergeCell ref="S40:S42"/>
    <mergeCell ref="U40:U42"/>
    <mergeCell ref="B43:B45"/>
    <mergeCell ref="S43:S45"/>
    <mergeCell ref="U43:U45"/>
    <mergeCell ref="B46:B48"/>
    <mergeCell ref="S46:S48"/>
    <mergeCell ref="U46:U48"/>
    <mergeCell ref="N53:U53"/>
    <mergeCell ref="N54:U54"/>
    <mergeCell ref="N55:U55"/>
    <mergeCell ref="B49:E49"/>
    <mergeCell ref="S49:U49"/>
    <mergeCell ref="B50:E50"/>
    <mergeCell ref="S50:U50"/>
    <mergeCell ref="A52:M52"/>
    <mergeCell ref="N52:U52"/>
  </mergeCells>
  <dataValidations count="3">
    <dataValidation operator="equal" allowBlank="1" showErrorMessage="1" errorTitle="Seleccionar un valor de la lista" sqref="I15:P15 F16:P16 I17:P22 I23:O23 I24:P25 I26:Q26 I27:P36 I37:Q38 I39:P44 I45:Q45 I46:P48">
      <formula1>0</formula1>
      <formula2>0</formula2>
    </dataValidation>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7" width="10.7109375" style="1" customWidth="1"/>
    <col min="18" max="18" width="13.140625" style="1" customWidth="1"/>
    <col min="19" max="19" width="12.28515625" style="1" customWidth="1"/>
    <col min="20" max="20" width="10.7109375" style="1" customWidth="1"/>
    <col min="21" max="21" width="12.140625" style="1" customWidth="1"/>
    <col min="22" max="22" width="2.7109375" style="1" customWidth="1"/>
    <col min="23"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c r="U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c r="U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c r="U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c r="U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c r="U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c r="U6" s="179"/>
    </row>
    <row r="7" spans="1:256" s="3" customFormat="1" ht="12.75" customHeight="1">
      <c r="A7" s="180"/>
      <c r="B7" s="180"/>
      <c r="C7" s="180"/>
      <c r="D7" s="180"/>
      <c r="E7" s="180"/>
      <c r="F7" s="180"/>
      <c r="G7" s="180"/>
      <c r="H7" s="180"/>
      <c r="I7" s="180"/>
      <c r="J7" s="180"/>
      <c r="K7" s="180"/>
      <c r="L7" s="180"/>
      <c r="M7" s="180"/>
      <c r="N7" s="180"/>
      <c r="O7" s="180"/>
      <c r="P7" s="180"/>
      <c r="Q7" s="180"/>
      <c r="R7" s="180"/>
      <c r="S7" s="180"/>
      <c r="T7" s="180"/>
      <c r="U7" s="180"/>
    </row>
    <row r="8" spans="1:256" ht="30" customHeight="1">
      <c r="A8" s="174" t="s">
        <v>2</v>
      </c>
      <c r="B8" s="174"/>
      <c r="C8" s="174"/>
      <c r="D8" s="174"/>
      <c r="E8" s="174"/>
      <c r="F8" s="174"/>
      <c r="G8" s="174"/>
      <c r="H8" s="174"/>
      <c r="I8" s="174"/>
      <c r="J8" s="174"/>
      <c r="K8" s="174"/>
      <c r="L8" s="174"/>
      <c r="M8" s="174"/>
      <c r="N8" s="174"/>
      <c r="O8" s="174"/>
      <c r="P8" s="174"/>
      <c r="Q8" s="174"/>
      <c r="R8" s="174"/>
      <c r="S8" s="174"/>
      <c r="T8" s="174"/>
      <c r="U8" s="174"/>
    </row>
    <row r="9" spans="1:256" ht="42" customHeight="1">
      <c r="A9" s="177" t="s">
        <v>3</v>
      </c>
      <c r="B9" s="177"/>
      <c r="C9" s="177"/>
      <c r="D9" s="177"/>
      <c r="E9" s="177"/>
      <c r="F9" s="177"/>
      <c r="G9" s="178" t="s">
        <v>110</v>
      </c>
      <c r="H9" s="178"/>
      <c r="I9" s="178"/>
      <c r="J9" s="178"/>
      <c r="K9" s="178"/>
      <c r="L9" s="178"/>
      <c r="M9" s="177" t="s">
        <v>5</v>
      </c>
      <c r="N9" s="177"/>
      <c r="O9" s="177"/>
      <c r="P9" s="186" t="s">
        <v>111</v>
      </c>
      <c r="Q9" s="186"/>
      <c r="R9" s="186"/>
      <c r="S9" s="186"/>
      <c r="T9" s="186"/>
      <c r="U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c r="T10" s="186"/>
      <c r="U10" s="186"/>
    </row>
    <row r="11" spans="1:256" ht="52.9" customHeight="1">
      <c r="A11" s="177" t="s">
        <v>11</v>
      </c>
      <c r="B11" s="177"/>
      <c r="C11" s="177"/>
      <c r="D11" s="177"/>
      <c r="E11" s="177"/>
      <c r="F11" s="177"/>
      <c r="G11" s="178" t="s">
        <v>112</v>
      </c>
      <c r="H11" s="178"/>
      <c r="I11" s="178"/>
      <c r="J11" s="178"/>
      <c r="K11" s="178"/>
      <c r="L11" s="178"/>
      <c r="M11" s="177" t="s">
        <v>32</v>
      </c>
      <c r="N11" s="177"/>
      <c r="O11" s="177"/>
      <c r="P11" s="186" t="s">
        <v>33</v>
      </c>
      <c r="Q11" s="186"/>
      <c r="R11" s="186"/>
      <c r="S11" s="186"/>
      <c r="T11" s="186"/>
      <c r="U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c r="P13" s="174"/>
      <c r="Q13" s="174"/>
      <c r="R13" s="174"/>
      <c r="S13" s="174"/>
      <c r="T13" s="174"/>
      <c r="U13" s="174"/>
    </row>
    <row r="14" spans="1:256" ht="45" customHeight="1">
      <c r="A14" s="4" t="s">
        <v>53</v>
      </c>
      <c r="B14" s="4" t="s">
        <v>114</v>
      </c>
      <c r="C14" s="6" t="s">
        <v>115</v>
      </c>
      <c r="D14" s="6" t="s">
        <v>116</v>
      </c>
      <c r="E14" s="6" t="s">
        <v>117</v>
      </c>
      <c r="F14" s="6" t="s">
        <v>55</v>
      </c>
      <c r="G14" s="4" t="s">
        <v>56</v>
      </c>
      <c r="H14" s="4" t="s">
        <v>57</v>
      </c>
      <c r="I14" s="4" t="s">
        <v>58</v>
      </c>
      <c r="J14" s="4" t="s">
        <v>59</v>
      </c>
      <c r="K14" s="4" t="s">
        <v>60</v>
      </c>
      <c r="L14" s="4" t="s">
        <v>61</v>
      </c>
      <c r="M14" s="4" t="s">
        <v>62</v>
      </c>
      <c r="N14" s="4" t="s">
        <v>63</v>
      </c>
      <c r="O14" s="4" t="s">
        <v>64</v>
      </c>
      <c r="P14" s="4" t="s">
        <v>65</v>
      </c>
      <c r="Q14" s="4" t="s">
        <v>66</v>
      </c>
      <c r="R14" s="4" t="s">
        <v>118</v>
      </c>
      <c r="S14" s="4" t="s">
        <v>183</v>
      </c>
      <c r="T14" s="4" t="s">
        <v>114</v>
      </c>
      <c r="U14" s="4" t="s">
        <v>184</v>
      </c>
    </row>
    <row r="15" spans="1:256" ht="15" customHeight="1">
      <c r="A15" s="173">
        <v>2016</v>
      </c>
      <c r="B15" s="173">
        <v>914</v>
      </c>
      <c r="C15" s="7" t="s">
        <v>121</v>
      </c>
      <c r="D15" s="38">
        <v>92000</v>
      </c>
      <c r="E15" s="39" t="s">
        <v>122</v>
      </c>
      <c r="F15" s="34">
        <f>+'Seguim Proy inversión 2016'!F15/$D15</f>
        <v>0</v>
      </c>
      <c r="G15" s="34">
        <f>+'Seguim Proy inversión 2016'!G15/$D15</f>
        <v>2.4021739130434781E-3</v>
      </c>
      <c r="H15" s="34">
        <f>+'Seguim Proy inversión 2016'!H15/$D15+G15</f>
        <v>0.17047826086956522</v>
      </c>
      <c r="I15" s="34">
        <f>+'Seguim Proy inversión 2016'!I15/$D15+H15</f>
        <v>0.3626195652173913</v>
      </c>
      <c r="J15" s="34">
        <f>+'Seguim Proy inversión 2016'!J15/$D15+I15</f>
        <v>0.46614130434782608</v>
      </c>
      <c r="K15" s="34">
        <f>+'Seguim Proy inversión 2016'!K15/$D15</f>
        <v>0</v>
      </c>
      <c r="L15" s="34"/>
      <c r="M15" s="34"/>
      <c r="N15" s="34"/>
      <c r="O15" s="34"/>
      <c r="P15" s="34"/>
      <c r="Q15" s="34"/>
      <c r="R15" s="34">
        <f>MAX(F15,G15,H15,I15,J15,K15,L15,M15,N15,O15,P15,Q15)</f>
        <v>0.46614130434782608</v>
      </c>
      <c r="S15" s="47">
        <v>0.7</v>
      </c>
      <c r="T15" s="173">
        <v>914</v>
      </c>
      <c r="U15" s="194">
        <f>+R15*S15+R16*S16</f>
        <v>0.64504891304347822</v>
      </c>
    </row>
    <row r="16" spans="1:256" ht="28.5" customHeight="1">
      <c r="A16" s="173"/>
      <c r="B16" s="173"/>
      <c r="C16" s="7" t="s">
        <v>123</v>
      </c>
      <c r="D16" s="40">
        <v>80</v>
      </c>
      <c r="E16" s="39" t="s">
        <v>124</v>
      </c>
      <c r="F16" s="34">
        <f>+'Seguim Proy inversión 2016'!F16/$D16</f>
        <v>0.97499999999999998</v>
      </c>
      <c r="G16" s="34">
        <f>+'Seguim Proy inversión 2016'!G16/$D16</f>
        <v>0.97499999999999998</v>
      </c>
      <c r="H16" s="34">
        <f>+'Seguim Proy inversión 2016'!H16/$D16</f>
        <v>1.0375000000000001</v>
      </c>
      <c r="I16" s="34">
        <f>+'Seguim Proy inversión 2016'!I16/$D16</f>
        <v>1.0375000000000001</v>
      </c>
      <c r="J16" s="34">
        <f>+'Seguim Proy inversión 2016'!J16/$D16</f>
        <v>1.0625</v>
      </c>
      <c r="K16" s="34">
        <f>+'Seguim Proy inversión 2016'!K16/$D16</f>
        <v>0</v>
      </c>
      <c r="L16" s="34"/>
      <c r="M16" s="34"/>
      <c r="N16" s="34"/>
      <c r="O16" s="34"/>
      <c r="P16" s="34"/>
      <c r="Q16" s="34"/>
      <c r="R16" s="34">
        <f>MAX(F16,G16,H16,I16,J16,K16,L16,M16,N16,O16,P16,Q16)</f>
        <v>1.0625</v>
      </c>
      <c r="S16" s="47">
        <v>0.30000000000000004</v>
      </c>
      <c r="T16" s="173"/>
      <c r="U16" s="194"/>
    </row>
    <row r="17" spans="1:21" ht="30" customHeight="1">
      <c r="A17" s="173"/>
      <c r="B17" s="173">
        <v>915</v>
      </c>
      <c r="C17" s="7" t="s">
        <v>125</v>
      </c>
      <c r="D17" s="38">
        <v>65216</v>
      </c>
      <c r="E17" s="39" t="s">
        <v>126</v>
      </c>
      <c r="F17" s="34">
        <f>+'Seguim Proy inversión 2016'!F17/$D17</f>
        <v>0</v>
      </c>
      <c r="G17" s="34">
        <f>+'Seguim Proy inversión 2016'!G17/$D17</f>
        <v>0.59943878802747796</v>
      </c>
      <c r="H17" s="34">
        <f>+'Seguim Proy inversión 2016'!H17/$D17</f>
        <v>0.62786739450441609</v>
      </c>
      <c r="I17" s="34">
        <f>+'Seguim Proy inversión 2016'!I17/$D17</f>
        <v>0.72255274779195289</v>
      </c>
      <c r="J17" s="34">
        <f>+'Seguim Proy inversión 2016'!J17/$D17</f>
        <v>0.75035267419038276</v>
      </c>
      <c r="K17" s="34">
        <f>+'Seguim Proy inversión 2016'!K17/$D17</f>
        <v>0</v>
      </c>
      <c r="L17" s="34"/>
      <c r="M17" s="34"/>
      <c r="N17" s="34"/>
      <c r="O17" s="34"/>
      <c r="P17" s="34"/>
      <c r="Q17" s="34"/>
      <c r="R17" s="34">
        <f>+'Seguim Proy inversión 2016'!T17</f>
        <v>0.75035267419038276</v>
      </c>
      <c r="S17" s="34">
        <v>0.7</v>
      </c>
      <c r="T17" s="173">
        <v>915</v>
      </c>
      <c r="U17" s="191">
        <f>+R17*S17+R18*S18</f>
        <v>0.94063148731788337</v>
      </c>
    </row>
    <row r="18" spans="1:21" ht="30" customHeight="1">
      <c r="A18" s="173"/>
      <c r="B18" s="173"/>
      <c r="C18" s="7" t="s">
        <v>127</v>
      </c>
      <c r="D18" s="40">
        <v>26</v>
      </c>
      <c r="E18" s="39" t="s">
        <v>128</v>
      </c>
      <c r="F18" s="34">
        <f>+'Seguim Proy inversión 2016'!F18/$D18</f>
        <v>0</v>
      </c>
      <c r="G18" s="34">
        <f>+'Seguim Proy inversión 2016'!G18/$D18</f>
        <v>0</v>
      </c>
      <c r="H18" s="34">
        <f>+'Seguim Proy inversión 2016'!H18/$D18</f>
        <v>0.46153846153846156</v>
      </c>
      <c r="I18" s="34">
        <f>+'Seguim Proy inversión 2016'!I18/$D18</f>
        <v>0.38461538461538464</v>
      </c>
      <c r="J18" s="34">
        <f>+'Seguim Proy inversión 2016'!J18/$D18</f>
        <v>0.53846153846153844</v>
      </c>
      <c r="K18" s="34">
        <f>+'Seguim Proy inversión 2016'!K18/$D18</f>
        <v>0</v>
      </c>
      <c r="L18" s="34"/>
      <c r="M18" s="34"/>
      <c r="N18" s="34"/>
      <c r="O18" s="34"/>
      <c r="P18" s="34"/>
      <c r="Q18" s="34"/>
      <c r="R18" s="34">
        <f>+'Seguim Proy inversión 2016'!R18/$D18</f>
        <v>1.3846153846153846</v>
      </c>
      <c r="S18" s="34">
        <v>0.30000000000000004</v>
      </c>
      <c r="T18" s="173"/>
      <c r="U18" s="191"/>
    </row>
    <row r="19" spans="1:21" ht="15" customHeight="1">
      <c r="A19" s="173"/>
      <c r="B19" s="173">
        <v>772</v>
      </c>
      <c r="C19" s="7" t="s">
        <v>129</v>
      </c>
      <c r="D19" s="40">
        <v>6</v>
      </c>
      <c r="E19" s="39" t="s">
        <v>130</v>
      </c>
      <c r="F19" s="34">
        <f>+'Seguim Proy inversión 2016'!F19/$D19</f>
        <v>0.33333333333333331</v>
      </c>
      <c r="G19" s="34">
        <f>+'Seguim Proy inversión 2016'!G19/$D19</f>
        <v>0</v>
      </c>
      <c r="H19" s="34">
        <f>+'Seguim Proy inversión 2016'!H19/$D19</f>
        <v>0</v>
      </c>
      <c r="I19" s="34">
        <f>+'Seguim Proy inversión 2016'!I19/$D19</f>
        <v>0.16666666666666666</v>
      </c>
      <c r="J19" s="34">
        <f>+'Seguim Proy inversión 2016'!J19/$D19</f>
        <v>0</v>
      </c>
      <c r="K19" s="34">
        <f>+'Seguim Proy inversión 2016'!K19/$D19</f>
        <v>0</v>
      </c>
      <c r="L19" s="34"/>
      <c r="M19" s="34"/>
      <c r="N19" s="34"/>
      <c r="O19" s="34"/>
      <c r="P19" s="34"/>
      <c r="Q19" s="34"/>
      <c r="R19" s="34">
        <f>+'Seguim Proy inversión 2016'!R19/$D19</f>
        <v>0.5</v>
      </c>
      <c r="S19" s="34">
        <v>0.4</v>
      </c>
      <c r="T19" s="173">
        <v>772</v>
      </c>
      <c r="U19" s="191">
        <f>+R19*S19+R20*S20+R21*S21</f>
        <v>0.7</v>
      </c>
    </row>
    <row r="20" spans="1:21" ht="30" customHeight="1">
      <c r="A20" s="173"/>
      <c r="B20" s="173"/>
      <c r="C20" s="7" t="s">
        <v>131</v>
      </c>
      <c r="D20" s="40">
        <v>5</v>
      </c>
      <c r="E20" s="39" t="s">
        <v>132</v>
      </c>
      <c r="F20" s="34">
        <f>+'Seguim Proy inversión 2016'!F20/$D20</f>
        <v>0</v>
      </c>
      <c r="G20" s="34">
        <f>+'Seguim Proy inversión 2016'!G20/$D20</f>
        <v>0</v>
      </c>
      <c r="H20" s="34">
        <f>+'Seguim Proy inversión 2016'!H20/$D20</f>
        <v>0.6</v>
      </c>
      <c r="I20" s="34">
        <f>+'Seguim Proy inversión 2016'!I20/$D20</f>
        <v>0.4</v>
      </c>
      <c r="J20" s="34">
        <f>+'Seguim Proy inversión 2016'!J20/$D20</f>
        <v>0</v>
      </c>
      <c r="K20" s="34">
        <f>+'Seguim Proy inversión 2016'!K20/$D20</f>
        <v>0</v>
      </c>
      <c r="L20" s="34"/>
      <c r="M20" s="34"/>
      <c r="N20" s="34"/>
      <c r="O20" s="34"/>
      <c r="P20" s="34"/>
      <c r="Q20" s="34"/>
      <c r="R20" s="34">
        <f>+'Seguim Proy inversión 2016'!R20/$D20</f>
        <v>1</v>
      </c>
      <c r="S20" s="34">
        <v>0.5</v>
      </c>
      <c r="T20" s="173"/>
      <c r="U20" s="191"/>
    </row>
    <row r="21" spans="1:21" ht="15" customHeight="1">
      <c r="A21" s="173"/>
      <c r="B21" s="173"/>
      <c r="C21" s="7" t="s">
        <v>131</v>
      </c>
      <c r="D21" s="40">
        <v>2</v>
      </c>
      <c r="E21" s="39" t="s">
        <v>133</v>
      </c>
      <c r="F21" s="34">
        <f>+'Seguim Proy inversión 2016'!F21/$D21</f>
        <v>0</v>
      </c>
      <c r="G21" s="34">
        <f>+'Seguim Proy inversión 2016'!G21/$D21</f>
        <v>0</v>
      </c>
      <c r="H21" s="34">
        <f>+'Seguim Proy inversión 2016'!H21/$D21</f>
        <v>0</v>
      </c>
      <c r="I21" s="34">
        <f>+'Seguim Proy inversión 2016'!I21/$D21</f>
        <v>0</v>
      </c>
      <c r="J21" s="34">
        <f>+'Seguim Proy inversión 2016'!J21/$D21</f>
        <v>0</v>
      </c>
      <c r="K21" s="34">
        <f>+'Seguim Proy inversión 2016'!K21/$D21</f>
        <v>0</v>
      </c>
      <c r="L21" s="34"/>
      <c r="M21" s="34"/>
      <c r="N21" s="34"/>
      <c r="O21" s="34"/>
      <c r="P21" s="34"/>
      <c r="Q21" s="34"/>
      <c r="R21" s="34">
        <f>+'Seguim Proy inversión 2016'!R21/$D21</f>
        <v>0</v>
      </c>
      <c r="S21" s="34">
        <v>0.1</v>
      </c>
      <c r="T21" s="173"/>
      <c r="U21" s="191"/>
    </row>
    <row r="22" spans="1:21" ht="15" customHeight="1">
      <c r="A22" s="173"/>
      <c r="B22" s="173">
        <v>795</v>
      </c>
      <c r="C22" s="7" t="s">
        <v>134</v>
      </c>
      <c r="D22" s="40">
        <v>1140000</v>
      </c>
      <c r="E22" s="39" t="s">
        <v>135</v>
      </c>
      <c r="F22" s="34">
        <f>+'Seguim Proy inversión 2016'!F22/$D22</f>
        <v>1.0603508771929825E-2</v>
      </c>
      <c r="G22" s="34">
        <f>+'Seguim Proy inversión 2016'!G22/$D22</f>
        <v>4.6640350877192984E-3</v>
      </c>
      <c r="H22" s="34">
        <f>+'Seguim Proy inversión 2016'!H22/$D22</f>
        <v>0.18991228070175439</v>
      </c>
      <c r="I22" s="34">
        <f>+'Seguim Proy inversión 2016'!I22/$D22</f>
        <v>2.5500877192982455E-2</v>
      </c>
      <c r="J22" s="34">
        <f>+'Seguim Proy inversión 2016'!J22/$D22</f>
        <v>1.2992105263157895E-2</v>
      </c>
      <c r="K22" s="34">
        <f>+'Seguim Proy inversión 2016'!K22/$D22</f>
        <v>0</v>
      </c>
      <c r="L22" s="34"/>
      <c r="M22" s="34"/>
      <c r="N22" s="34"/>
      <c r="O22" s="34"/>
      <c r="P22" s="34"/>
      <c r="Q22" s="34"/>
      <c r="R22" s="34">
        <f>+'Seguim Proy inversión 2016'!T22</f>
        <v>1.2712313596491227</v>
      </c>
      <c r="S22" s="34">
        <v>0.15</v>
      </c>
      <c r="T22" s="173">
        <v>795</v>
      </c>
      <c r="U22" s="191">
        <f>+R22*S22+R23*S23+R24*S24+R25*S25+R26*S26+R27*S27+R28*S28+R29*S29</f>
        <v>1.0904908736724781</v>
      </c>
    </row>
    <row r="23" spans="1:21" ht="57" customHeight="1">
      <c r="A23" s="173"/>
      <c r="B23" s="173"/>
      <c r="C23" s="7" t="s">
        <v>136</v>
      </c>
      <c r="D23" s="40">
        <v>260000</v>
      </c>
      <c r="E23" s="39" t="s">
        <v>137</v>
      </c>
      <c r="F23" s="34">
        <f>+'Seguim Proy inversión 2016'!F23/$D23</f>
        <v>0</v>
      </c>
      <c r="G23" s="34">
        <f>+'Seguim Proy inversión 2016'!G23/$D23</f>
        <v>0</v>
      </c>
      <c r="H23" s="34">
        <f>+'Seguim Proy inversión 2016'!H23/$D23</f>
        <v>1.0688461538461539E-2</v>
      </c>
      <c r="I23" s="34">
        <f>+'Seguim Proy inversión 2016'!I23/$D23</f>
        <v>0</v>
      </c>
      <c r="J23" s="34">
        <f>+'Seguim Proy inversión 2016'!J23/$D23</f>
        <v>5.1480769230769233E-2</v>
      </c>
      <c r="K23" s="34">
        <f>+'Seguim Proy inversión 2016'!K23/$D23</f>
        <v>0</v>
      </c>
      <c r="L23" s="34"/>
      <c r="M23" s="34"/>
      <c r="N23" s="34"/>
      <c r="O23" s="34"/>
      <c r="P23" s="34"/>
      <c r="Q23" s="34"/>
      <c r="R23" s="34">
        <f>+'Seguim Proy inversión 2016'!T23</f>
        <v>1.0919019230769231</v>
      </c>
      <c r="S23" s="34">
        <v>0.05</v>
      </c>
      <c r="T23" s="173"/>
      <c r="U23" s="191"/>
    </row>
    <row r="24" spans="1:21" ht="12.75" customHeight="1">
      <c r="A24" s="173"/>
      <c r="B24" s="173"/>
      <c r="C24" s="7" t="s">
        <v>138</v>
      </c>
      <c r="D24" s="40">
        <v>10000</v>
      </c>
      <c r="E24" s="39" t="s">
        <v>139</v>
      </c>
      <c r="F24" s="34">
        <f>+'Seguim Proy inversión 2016'!F24/$D24</f>
        <v>5.6000000000000001E-2</v>
      </c>
      <c r="G24" s="34">
        <f>+'Seguim Proy inversión 2016'!G24/$D24</f>
        <v>1.7500000000000002E-2</v>
      </c>
      <c r="H24" s="34">
        <f>+'Seguim Proy inversión 2016'!H24/$D24</f>
        <v>4.9799999999999997E-2</v>
      </c>
      <c r="I24" s="34">
        <f>+'Seguim Proy inversión 2016'!I24/$D24</f>
        <v>6.5299999999999997E-2</v>
      </c>
      <c r="J24" s="34">
        <f>+'Seguim Proy inversión 2016'!J24/$D24</f>
        <v>3.0800000000000001E-2</v>
      </c>
      <c r="K24" s="34">
        <f>+'Seguim Proy inversión 2016'!K24/$D24</f>
        <v>0</v>
      </c>
      <c r="L24" s="34"/>
      <c r="M24" s="34"/>
      <c r="N24" s="34"/>
      <c r="O24" s="34"/>
      <c r="P24" s="34"/>
      <c r="Q24" s="34"/>
      <c r="R24" s="34">
        <f>+'Seguim Proy inversión 2016'!T24</f>
        <v>1.3483499999999999</v>
      </c>
      <c r="S24" s="34">
        <v>0.15</v>
      </c>
      <c r="T24" s="173"/>
      <c r="U24" s="191"/>
    </row>
    <row r="25" spans="1:21" ht="12.75" customHeight="1">
      <c r="A25" s="173"/>
      <c r="B25" s="173"/>
      <c r="C25" s="7" t="s">
        <v>131</v>
      </c>
      <c r="D25" s="38">
        <v>20</v>
      </c>
      <c r="E25" s="39" t="s">
        <v>140</v>
      </c>
      <c r="F25" s="34">
        <f>+'Seguim Proy inversión 2016'!F25/$D25</f>
        <v>0</v>
      </c>
      <c r="G25" s="34">
        <f>+'Seguim Proy inversión 2016'!G25/$D25</f>
        <v>0</v>
      </c>
      <c r="H25" s="34">
        <f>+'Seguim Proy inversión 2016'!H25/$D25</f>
        <v>0.5</v>
      </c>
      <c r="I25" s="34">
        <f>+'Seguim Proy inversión 2016'!I25/$D25</f>
        <v>1.65</v>
      </c>
      <c r="J25" s="34">
        <f>+'Seguim Proy inversión 2016'!J25/$D25</f>
        <v>6.15</v>
      </c>
      <c r="K25" s="34">
        <f>+'Seguim Proy inversión 2016'!K25/$D25</f>
        <v>0</v>
      </c>
      <c r="L25" s="34"/>
      <c r="M25" s="34"/>
      <c r="N25" s="34"/>
      <c r="O25" s="34"/>
      <c r="P25" s="34"/>
      <c r="Q25" s="34"/>
      <c r="R25" s="34">
        <f>+'Seguim Proy inversión 2016'!T25</f>
        <v>1.0390185036202735</v>
      </c>
      <c r="S25" s="34">
        <v>0.25</v>
      </c>
      <c r="T25" s="173"/>
      <c r="U25" s="191"/>
    </row>
    <row r="26" spans="1:21" ht="12.75" customHeight="1">
      <c r="A26" s="173"/>
      <c r="B26" s="173"/>
      <c r="C26" s="7" t="s">
        <v>141</v>
      </c>
      <c r="D26" s="41">
        <v>0.2</v>
      </c>
      <c r="E26" s="39" t="s">
        <v>142</v>
      </c>
      <c r="F26" s="34">
        <f>+'Seguim Proy inversión 2016'!F26/$D26</f>
        <v>0</v>
      </c>
      <c r="G26" s="34">
        <f>+'Seguim Proy inversión 2016'!G26/$D26</f>
        <v>0</v>
      </c>
      <c r="H26" s="34">
        <f>+'Seguim Proy inversión 2016'!H26/$D26</f>
        <v>0</v>
      </c>
      <c r="I26" s="34">
        <f>+'Seguim Proy inversión 2016'!I26/$D26</f>
        <v>0</v>
      </c>
      <c r="J26" s="34">
        <f>+'Seguim Proy inversión 2016'!J26/$D26</f>
        <v>0.3</v>
      </c>
      <c r="K26" s="34">
        <f>+'Seguim Proy inversión 2016'!K26/$D26</f>
        <v>0</v>
      </c>
      <c r="L26" s="34"/>
      <c r="M26" s="34"/>
      <c r="N26" s="34"/>
      <c r="O26" s="34"/>
      <c r="P26" s="34"/>
      <c r="Q26" s="34"/>
      <c r="R26" s="34">
        <f>+'Seguim Proy inversión 2016'!T26</f>
        <v>1.0437533333333333</v>
      </c>
      <c r="S26" s="34">
        <v>0.15</v>
      </c>
      <c r="T26" s="173"/>
      <c r="U26" s="191"/>
    </row>
    <row r="27" spans="1:21" ht="12.75" customHeight="1">
      <c r="A27" s="173"/>
      <c r="B27" s="173"/>
      <c r="C27" s="43" t="s">
        <v>143</v>
      </c>
      <c r="D27" s="38">
        <v>20930</v>
      </c>
      <c r="E27" s="39" t="s">
        <v>137</v>
      </c>
      <c r="F27" s="34">
        <f>+'Seguim Proy inversión 2016'!F27/$D27</f>
        <v>0.16211180124223604</v>
      </c>
      <c r="G27" s="34">
        <f>+'Seguim Proy inversión 2016'!G27/$D27</f>
        <v>0.13707596751075013</v>
      </c>
      <c r="H27" s="34">
        <f>+'Seguim Proy inversión 2016'!H27/$D27</f>
        <v>0.19632107023411371</v>
      </c>
      <c r="I27" s="34">
        <f>+'Seguim Proy inversión 2016'!I27/$D27</f>
        <v>0.81533683707596749</v>
      </c>
      <c r="J27" s="34">
        <f>+'Seguim Proy inversión 2016'!J27/$D27</f>
        <v>0.19221213569039655</v>
      </c>
      <c r="K27" s="34">
        <f>+'Seguim Proy inversión 2016'!K27/$D27</f>
        <v>0</v>
      </c>
      <c r="L27" s="34"/>
      <c r="M27" s="34"/>
      <c r="N27" s="34"/>
      <c r="O27" s="34"/>
      <c r="P27" s="34"/>
      <c r="Q27" s="34"/>
      <c r="R27" s="34">
        <f>+'Seguim Proy inversión 2016'!T27</f>
        <v>1.0347491749174917</v>
      </c>
      <c r="S27" s="34">
        <v>0.15</v>
      </c>
      <c r="T27" s="173"/>
      <c r="U27" s="191"/>
    </row>
    <row r="28" spans="1:21" ht="12.75" customHeight="1">
      <c r="A28" s="173"/>
      <c r="B28" s="173"/>
      <c r="C28" s="43" t="s">
        <v>144</v>
      </c>
      <c r="D28" s="40">
        <v>0</v>
      </c>
      <c r="E28" s="39" t="s">
        <v>145</v>
      </c>
      <c r="F28" s="34">
        <f>+'Seguim Proy inversión 2016'!F28</f>
        <v>0</v>
      </c>
      <c r="G28" s="34">
        <f>+'Seguim Proy inversión 2016'!G28</f>
        <v>0</v>
      </c>
      <c r="H28" s="34">
        <f>+'Seguim Proy inversión 2016'!H28</f>
        <v>0</v>
      </c>
      <c r="I28" s="34">
        <f>+'Seguim Proy inversión 2016'!I28</f>
        <v>0</v>
      </c>
      <c r="J28" s="34">
        <f>+'Seguim Proy inversión 2016'!J28</f>
        <v>0</v>
      </c>
      <c r="K28" s="34">
        <f>+'Seguim Proy inversión 2016'!K28</f>
        <v>0</v>
      </c>
      <c r="L28" s="34"/>
      <c r="M28" s="34"/>
      <c r="N28" s="34"/>
      <c r="O28" s="34"/>
      <c r="P28" s="34"/>
      <c r="Q28" s="34"/>
      <c r="R28" s="34">
        <v>0</v>
      </c>
      <c r="S28" s="34">
        <v>0</v>
      </c>
      <c r="T28" s="173"/>
      <c r="U28" s="191"/>
    </row>
    <row r="29" spans="1:21" ht="12.75" customHeight="1">
      <c r="A29" s="173"/>
      <c r="B29" s="173"/>
      <c r="C29" s="43" t="s">
        <v>185</v>
      </c>
      <c r="D29" s="40">
        <v>7</v>
      </c>
      <c r="E29" s="39" t="s">
        <v>147</v>
      </c>
      <c r="F29" s="34">
        <f>+'Seguim Proy inversión 2016'!F29/$D29</f>
        <v>0</v>
      </c>
      <c r="G29" s="34">
        <f>+'Seguim Proy inversión 2016'!G29/$D29</f>
        <v>0</v>
      </c>
      <c r="H29" s="34">
        <f>+'Seguim Proy inversión 2016'!H29/$D29</f>
        <v>0</v>
      </c>
      <c r="I29" s="34">
        <f>+'Seguim Proy inversión 2016'!I29/$D29</f>
        <v>0</v>
      </c>
      <c r="J29" s="34">
        <f>+'Seguim Proy inversión 2016'!J29/$D29</f>
        <v>0</v>
      </c>
      <c r="K29" s="34">
        <f>+'Seguim Proy inversión 2016'!K29/$D29</f>
        <v>0</v>
      </c>
      <c r="L29" s="34"/>
      <c r="M29" s="34"/>
      <c r="N29" s="34"/>
      <c r="O29" s="34"/>
      <c r="P29" s="34"/>
      <c r="Q29" s="34"/>
      <c r="R29" s="34">
        <f>+'Seguim Proy inversión 2016'!T29</f>
        <v>0.7142857142857143</v>
      </c>
      <c r="S29" s="34">
        <v>0.1</v>
      </c>
      <c r="T29" s="173"/>
      <c r="U29" s="191"/>
    </row>
    <row r="30" spans="1:21" ht="12.75" customHeight="1">
      <c r="A30" s="173"/>
      <c r="B30" s="173">
        <v>783</v>
      </c>
      <c r="C30" s="43" t="s">
        <v>148</v>
      </c>
      <c r="D30" s="38">
        <v>2</v>
      </c>
      <c r="E30" s="39" t="s">
        <v>149</v>
      </c>
      <c r="F30" s="34">
        <f>+'Seguim Proy inversión 2016'!F30/$D30</f>
        <v>1</v>
      </c>
      <c r="G30" s="34">
        <f>+'Seguim Proy inversión 2016'!G30/$D30</f>
        <v>1</v>
      </c>
      <c r="H30" s="34">
        <f>+'Seguim Proy inversión 2016'!H30/$D30</f>
        <v>1</v>
      </c>
      <c r="I30" s="34">
        <f>+'Seguim Proy inversión 2016'!I30/$D30</f>
        <v>1</v>
      </c>
      <c r="J30" s="34">
        <f>+'Seguim Proy inversión 2016'!J30/$D30</f>
        <v>1</v>
      </c>
      <c r="K30" s="34">
        <f>+'Seguim Proy inversión 2016'!K30/$D30</f>
        <v>0</v>
      </c>
      <c r="L30" s="34"/>
      <c r="M30" s="34"/>
      <c r="N30" s="34"/>
      <c r="O30" s="34"/>
      <c r="P30" s="34"/>
      <c r="Q30" s="34"/>
      <c r="R30" s="34">
        <f>+'Seguim Proy inversión 2016'!R30/$D30</f>
        <v>1</v>
      </c>
      <c r="S30" s="34">
        <v>0.2</v>
      </c>
      <c r="T30" s="173">
        <v>783</v>
      </c>
      <c r="U30" s="191">
        <f>+R30*S30+R31*S31+R32*S32+R33*S33+R34*S34</f>
        <v>1.2612650357142858</v>
      </c>
    </row>
    <row r="31" spans="1:21" ht="12.75" customHeight="1">
      <c r="A31" s="173"/>
      <c r="B31" s="173"/>
      <c r="C31" s="7" t="s">
        <v>150</v>
      </c>
      <c r="D31" s="44">
        <v>0.4</v>
      </c>
      <c r="E31" s="39" t="s">
        <v>151</v>
      </c>
      <c r="F31" s="34">
        <f>+'Seguim Proy inversión 2016'!F31/$D31</f>
        <v>0</v>
      </c>
      <c r="G31" s="34">
        <f>+'Seguim Proy inversión 2016'!G31/$D31</f>
        <v>0</v>
      </c>
      <c r="H31" s="34">
        <f>+'Seguim Proy inversión 2016'!H31/$D31</f>
        <v>0</v>
      </c>
      <c r="I31" s="34">
        <f>+'Seguim Proy inversión 2016'!I31/$D31</f>
        <v>0</v>
      </c>
      <c r="J31" s="34">
        <f>+'Seguim Proy inversión 2016'!J31/$D31</f>
        <v>1.0389999999999999</v>
      </c>
      <c r="K31" s="34">
        <f>+'Seguim Proy inversión 2016'!K31/$D31</f>
        <v>0</v>
      </c>
      <c r="L31" s="34"/>
      <c r="M31" s="34"/>
      <c r="N31" s="34"/>
      <c r="O31" s="34"/>
      <c r="P31" s="34"/>
      <c r="Q31" s="34"/>
      <c r="R31" s="34">
        <f>+'Seguim Proy inversión 2016'!R31/$D31</f>
        <v>1.0389999999999999</v>
      </c>
      <c r="S31" s="34">
        <v>0.1</v>
      </c>
      <c r="T31" s="173"/>
      <c r="U31" s="191"/>
    </row>
    <row r="32" spans="1:21" ht="12.75" customHeight="1">
      <c r="A32" s="173"/>
      <c r="B32" s="173"/>
      <c r="C32" s="43" t="s">
        <v>152</v>
      </c>
      <c r="D32" s="38">
        <v>300000</v>
      </c>
      <c r="E32" s="39" t="s">
        <v>137</v>
      </c>
      <c r="F32" s="34">
        <f>+'Seguim Proy inversión 2016'!F32/$D32</f>
        <v>0.10835333333333333</v>
      </c>
      <c r="G32" s="34">
        <f>+'Seguim Proy inversión 2016'!G32/$D32</f>
        <v>5.3870000000000001E-2</v>
      </c>
      <c r="H32" s="34">
        <f>+'Seguim Proy inversión 2016'!H32/$D32</f>
        <v>0.13005</v>
      </c>
      <c r="I32" s="34">
        <f>+'Seguim Proy inversión 2016'!I32/$D32</f>
        <v>7.9913333333333336E-2</v>
      </c>
      <c r="J32" s="34">
        <f>+'Seguim Proy inversión 2016'!J32/$D32</f>
        <v>0.10621333333333334</v>
      </c>
      <c r="K32" s="34">
        <f>+'Seguim Proy inversión 2016'!K32/$D32</f>
        <v>0</v>
      </c>
      <c r="L32" s="34"/>
      <c r="M32" s="34"/>
      <c r="N32" s="34"/>
      <c r="O32" s="34"/>
      <c r="P32" s="34"/>
      <c r="Q32" s="34"/>
      <c r="R32" s="34">
        <f>+'Seguim Proy inversión 2016'!T32</f>
        <v>1.1481600000000001</v>
      </c>
      <c r="S32" s="34">
        <v>0.2</v>
      </c>
      <c r="T32" s="173"/>
      <c r="U32" s="191"/>
    </row>
    <row r="33" spans="1:21" ht="12.75" customHeight="1">
      <c r="A33" s="173"/>
      <c r="B33" s="173"/>
      <c r="C33" s="43" t="s">
        <v>186</v>
      </c>
      <c r="D33" s="38">
        <v>280000</v>
      </c>
      <c r="E33" s="39" t="s">
        <v>137</v>
      </c>
      <c r="F33" s="34">
        <f>+'Seguim Proy inversión 2016'!F33/$D33</f>
        <v>8.3071428571428567E-3</v>
      </c>
      <c r="G33" s="34">
        <f>+'Seguim Proy inversión 2016'!G33/$D33</f>
        <v>2.3364285714285716E-2</v>
      </c>
      <c r="H33" s="34">
        <f>+'Seguim Proy inversión 2016'!H33/$D33</f>
        <v>0.15634285714285714</v>
      </c>
      <c r="I33" s="34">
        <f>+'Seguim Proy inversión 2016'!I33/$D33</f>
        <v>0.15179999999999999</v>
      </c>
      <c r="J33" s="34">
        <f>+'Seguim Proy inversión 2016'!J33/$D33</f>
        <v>0.12120357142857142</v>
      </c>
      <c r="K33" s="34">
        <f>+'Seguim Proy inversión 2016'!K33/$D33</f>
        <v>0</v>
      </c>
      <c r="L33" s="34"/>
      <c r="M33" s="34"/>
      <c r="N33" s="34"/>
      <c r="O33" s="34"/>
      <c r="P33" s="34"/>
      <c r="Q33" s="34"/>
      <c r="R33" s="34">
        <f>+'Seguim Proy inversión 2016'!T33</f>
        <v>1.6282321428571429</v>
      </c>
      <c r="S33" s="34">
        <v>0.25</v>
      </c>
      <c r="T33" s="173"/>
      <c r="U33" s="191"/>
    </row>
    <row r="34" spans="1:21" ht="12.75" customHeight="1">
      <c r="A34" s="173"/>
      <c r="B34" s="173"/>
      <c r="C34" s="7" t="s">
        <v>138</v>
      </c>
      <c r="D34" s="38">
        <v>2500</v>
      </c>
      <c r="E34" s="39" t="s">
        <v>154</v>
      </c>
      <c r="F34" s="34">
        <f>+'Seguim Proy inversión 2016'!F34/$D34</f>
        <v>9.64E-2</v>
      </c>
      <c r="G34" s="34">
        <f>+'Seguim Proy inversión 2016'!G34/$D34</f>
        <v>0.15759999999999999</v>
      </c>
      <c r="H34" s="34">
        <f>+'Seguim Proy inversión 2016'!H34/$D34</f>
        <v>0.2084</v>
      </c>
      <c r="I34" s="34">
        <f>+'Seguim Proy inversión 2016'!I34/$D34</f>
        <v>0.22559999999999999</v>
      </c>
      <c r="J34" s="34">
        <f>+'Seguim Proy inversión 2016'!J34/$D34</f>
        <v>0.4204</v>
      </c>
      <c r="K34" s="34">
        <f>+'Seguim Proy inversión 2016'!K34/$D34</f>
        <v>0</v>
      </c>
      <c r="L34" s="34"/>
      <c r="M34" s="34"/>
      <c r="N34" s="34"/>
      <c r="O34" s="34"/>
      <c r="P34" s="34"/>
      <c r="Q34" s="34"/>
      <c r="R34" s="34">
        <f>+'Seguim Proy inversión 2016'!T34</f>
        <v>1.2827</v>
      </c>
      <c r="S34" s="34">
        <v>0.25</v>
      </c>
      <c r="T34" s="173"/>
      <c r="U34" s="191"/>
    </row>
    <row r="35" spans="1:21" ht="12.75" customHeight="1">
      <c r="A35" s="173"/>
      <c r="B35" s="173">
        <v>792</v>
      </c>
      <c r="C35" s="7" t="s">
        <v>155</v>
      </c>
      <c r="D35" s="40">
        <v>8</v>
      </c>
      <c r="E35" s="39" t="s">
        <v>156</v>
      </c>
      <c r="F35" s="34">
        <f>+'Seguim Proy inversión 2016'!F35/$D35</f>
        <v>1</v>
      </c>
      <c r="G35" s="34">
        <f>+'Seguim Proy inversión 2016'!G35/$D35</f>
        <v>1</v>
      </c>
      <c r="H35" s="34">
        <f>+'Seguim Proy inversión 2016'!H35/$D35</f>
        <v>1</v>
      </c>
      <c r="I35" s="34">
        <f>+'Seguim Proy inversión 2016'!I35/$D35</f>
        <v>1</v>
      </c>
      <c r="J35" s="34">
        <f>+'Seguim Proy inversión 2016'!J35/$D35</f>
        <v>1</v>
      </c>
      <c r="K35" s="34">
        <f>+'Seguim Proy inversión 2016'!K35/$D35</f>
        <v>0</v>
      </c>
      <c r="L35" s="34"/>
      <c r="M35" s="34"/>
      <c r="N35" s="34"/>
      <c r="O35" s="34"/>
      <c r="P35" s="34"/>
      <c r="Q35" s="34"/>
      <c r="R35" s="34">
        <f>+'Seguim Proy inversión 2016'!R35/$D35</f>
        <v>1</v>
      </c>
      <c r="S35" s="34">
        <v>0.30000000000000004</v>
      </c>
      <c r="T35" s="173">
        <v>792</v>
      </c>
      <c r="U35" s="191">
        <f>+R35*S35+R36*S36+R37*S37+R38*S38</f>
        <v>0.67600000000000005</v>
      </c>
    </row>
    <row r="36" spans="1:21" ht="12.75" customHeight="1">
      <c r="A36" s="173"/>
      <c r="B36" s="173"/>
      <c r="C36" s="7" t="s">
        <v>155</v>
      </c>
      <c r="D36" s="40">
        <v>2</v>
      </c>
      <c r="E36" s="39" t="s">
        <v>157</v>
      </c>
      <c r="F36" s="34">
        <f>+'Seguim Proy inversión 2016'!F36/$D36</f>
        <v>1</v>
      </c>
      <c r="G36" s="34">
        <f>+'Seguim Proy inversión 2016'!G36/$D36</f>
        <v>1</v>
      </c>
      <c r="H36" s="34">
        <f>+'Seguim Proy inversión 2016'!H36/$D36</f>
        <v>1</v>
      </c>
      <c r="I36" s="34">
        <f>+'Seguim Proy inversión 2016'!I36/$D36</f>
        <v>1</v>
      </c>
      <c r="J36" s="34">
        <f>+'Seguim Proy inversión 2016'!J36/$D36</f>
        <v>1</v>
      </c>
      <c r="K36" s="34">
        <f>+'Seguim Proy inversión 2016'!K36/$D36</f>
        <v>0</v>
      </c>
      <c r="L36" s="34"/>
      <c r="M36" s="34"/>
      <c r="N36" s="34"/>
      <c r="O36" s="34"/>
      <c r="P36" s="34"/>
      <c r="Q36" s="34"/>
      <c r="R36" s="34">
        <f>+'Seguim Proy inversión 2016'!R36/$D36</f>
        <v>1</v>
      </c>
      <c r="S36" s="34">
        <v>0.2</v>
      </c>
      <c r="T36" s="173"/>
      <c r="U36" s="191"/>
    </row>
    <row r="37" spans="1:21" ht="12.75" customHeight="1">
      <c r="A37" s="173"/>
      <c r="B37" s="173"/>
      <c r="C37" s="7" t="s">
        <v>158</v>
      </c>
      <c r="D37" s="44">
        <v>1</v>
      </c>
      <c r="E37" s="39" t="s">
        <v>159</v>
      </c>
      <c r="F37" s="34">
        <f>+'Seguim Proy inversión 2016'!F37/$D37</f>
        <v>0</v>
      </c>
      <c r="G37" s="34">
        <f>+'Seguim Proy inversión 2016'!G37/$D37</f>
        <v>0</v>
      </c>
      <c r="H37" s="34">
        <f>+'Seguim Proy inversión 2016'!H37/$D37</f>
        <v>0</v>
      </c>
      <c r="I37" s="34">
        <f>+'Seguim Proy inversión 2016'!I37/$D37</f>
        <v>0</v>
      </c>
      <c r="J37" s="34">
        <f>+'Seguim Proy inversión 2016'!J37/$D37</f>
        <v>0.34</v>
      </c>
      <c r="K37" s="34">
        <f>+'Seguim Proy inversión 2016'!K37/$D37</f>
        <v>0</v>
      </c>
      <c r="L37" s="34"/>
      <c r="M37" s="34"/>
      <c r="N37" s="34"/>
      <c r="O37" s="34"/>
      <c r="P37" s="34"/>
      <c r="Q37" s="34"/>
      <c r="R37" s="34">
        <f>+'Seguim Proy inversión 2016'!R37/$D37</f>
        <v>0.34</v>
      </c>
      <c r="S37" s="34">
        <v>0.4</v>
      </c>
      <c r="T37" s="173"/>
      <c r="U37" s="191"/>
    </row>
    <row r="38" spans="1:21" ht="12.75" customHeight="1">
      <c r="A38" s="173"/>
      <c r="B38" s="173"/>
      <c r="C38" s="43" t="s">
        <v>160</v>
      </c>
      <c r="D38" s="40">
        <v>1</v>
      </c>
      <c r="E38" s="39" t="s">
        <v>161</v>
      </c>
      <c r="F38" s="34">
        <f>+'Seguim Proy inversión 2016'!F38/$D38</f>
        <v>0</v>
      </c>
      <c r="G38" s="34">
        <f>+'Seguim Proy inversión 2016'!G38/$D38</f>
        <v>0</v>
      </c>
      <c r="H38" s="34">
        <f>+'Seguim Proy inversión 2016'!H38/$D38</f>
        <v>0</v>
      </c>
      <c r="I38" s="34">
        <f>+'Seguim Proy inversión 2016'!I38/$D38</f>
        <v>0</v>
      </c>
      <c r="J38" s="34">
        <f>+'Seguim Proy inversión 2016'!J38/$D38</f>
        <v>0.4</v>
      </c>
      <c r="K38" s="34">
        <f>+'Seguim Proy inversión 2016'!K38/$D38</f>
        <v>0</v>
      </c>
      <c r="L38" s="34"/>
      <c r="M38" s="34"/>
      <c r="N38" s="34"/>
      <c r="O38" s="34"/>
      <c r="P38" s="34"/>
      <c r="Q38" s="34"/>
      <c r="R38" s="34">
        <f>+'Seguim Proy inversión 2016'!R38/$D38</f>
        <v>0.4</v>
      </c>
      <c r="S38" s="34">
        <v>0.1</v>
      </c>
      <c r="T38" s="173"/>
      <c r="U38" s="191"/>
    </row>
    <row r="39" spans="1:21" ht="12.75" customHeight="1">
      <c r="A39" s="173"/>
      <c r="B39" s="7">
        <v>787</v>
      </c>
      <c r="C39" s="7" t="s">
        <v>162</v>
      </c>
      <c r="D39" s="40">
        <v>1</v>
      </c>
      <c r="E39" s="39" t="s">
        <v>163</v>
      </c>
      <c r="F39" s="34">
        <v>0</v>
      </c>
      <c r="G39" s="34">
        <v>0</v>
      </c>
      <c r="H39" s="34">
        <v>0</v>
      </c>
      <c r="I39" s="34">
        <v>0</v>
      </c>
      <c r="J39" s="34">
        <v>0</v>
      </c>
      <c r="K39" s="34">
        <v>0</v>
      </c>
      <c r="L39" s="34"/>
      <c r="M39" s="34"/>
      <c r="N39" s="34"/>
      <c r="O39" s="34"/>
      <c r="P39" s="34"/>
      <c r="Q39" s="34"/>
      <c r="R39" s="34">
        <f>+'Seguim Proy inversión 2016'!T39</f>
        <v>0.83333333333333337</v>
      </c>
      <c r="S39" s="48">
        <v>1</v>
      </c>
      <c r="T39" s="7">
        <v>787</v>
      </c>
      <c r="U39" s="48">
        <f>+R39*S39</f>
        <v>0.83333333333333337</v>
      </c>
    </row>
    <row r="40" spans="1:21" ht="12.75" customHeight="1">
      <c r="A40" s="173"/>
      <c r="B40" s="173">
        <v>944</v>
      </c>
      <c r="C40" s="7" t="s">
        <v>164</v>
      </c>
      <c r="D40" s="40">
        <v>6</v>
      </c>
      <c r="E40" s="39" t="s">
        <v>165</v>
      </c>
      <c r="F40" s="34">
        <f>+'Seguim Proy inversión 2016'!F40/$D40</f>
        <v>0</v>
      </c>
      <c r="G40" s="34">
        <f>+'Seguim Proy inversión 2016'!G40/$D40</f>
        <v>0</v>
      </c>
      <c r="H40" s="34">
        <f>+'Seguim Proy inversión 2016'!H40/$D40</f>
        <v>0</v>
      </c>
      <c r="I40" s="34">
        <f>+'Seguim Proy inversión 2016'!I40/$D40</f>
        <v>0.5</v>
      </c>
      <c r="J40" s="34">
        <f>+'Seguim Proy inversión 2016'!J40/$D40</f>
        <v>0.5</v>
      </c>
      <c r="K40" s="34">
        <f>+'Seguim Proy inversión 2016'!K40/$D40</f>
        <v>0</v>
      </c>
      <c r="L40" s="34"/>
      <c r="M40" s="34"/>
      <c r="N40" s="34"/>
      <c r="O40" s="34"/>
      <c r="P40" s="34"/>
      <c r="Q40" s="34"/>
      <c r="R40" s="34">
        <f>+'Seguim Proy inversión 2016'!R40/$D40</f>
        <v>1</v>
      </c>
      <c r="S40" s="48">
        <v>1</v>
      </c>
      <c r="T40" s="173">
        <v>944</v>
      </c>
      <c r="U40" s="191">
        <f>+R40*S40</f>
        <v>1</v>
      </c>
    </row>
    <row r="41" spans="1:21" ht="12.75" customHeight="1">
      <c r="A41" s="173"/>
      <c r="B41" s="173"/>
      <c r="C41" s="7" t="s">
        <v>166</v>
      </c>
      <c r="D41" s="38">
        <v>2800</v>
      </c>
      <c r="E41" s="39" t="s">
        <v>137</v>
      </c>
      <c r="F41" s="34">
        <f>+'Seguim Proy inversión 2016'!F41/$D41</f>
        <v>0</v>
      </c>
      <c r="G41" s="34">
        <f>+'Seguim Proy inversión 2016'!G41/$D41</f>
        <v>0</v>
      </c>
      <c r="H41" s="34">
        <f>+'Seguim Proy inversión 2016'!H41/$D41</f>
        <v>0</v>
      </c>
      <c r="I41" s="34">
        <f>+'Seguim Proy inversión 2016'!I41/$D41</f>
        <v>0</v>
      </c>
      <c r="J41" s="34">
        <f>+'Seguim Proy inversión 2016'!J41/$D41</f>
        <v>0</v>
      </c>
      <c r="K41" s="34">
        <f>+'Seguim Proy inversión 2016'!K41/$D41</f>
        <v>0</v>
      </c>
      <c r="L41" s="34"/>
      <c r="M41" s="34"/>
      <c r="N41" s="34"/>
      <c r="O41" s="34"/>
      <c r="P41" s="34"/>
      <c r="Q41" s="34"/>
      <c r="R41" s="34">
        <f>+'Seguim Proy inversión 2016'!R41/$D41</f>
        <v>0</v>
      </c>
      <c r="S41" s="34"/>
      <c r="T41" s="173"/>
      <c r="U41" s="191"/>
    </row>
    <row r="42" spans="1:21" ht="12.75" customHeight="1">
      <c r="A42" s="173"/>
      <c r="B42" s="173"/>
      <c r="C42" s="7" t="s">
        <v>168</v>
      </c>
      <c r="D42" s="40">
        <v>1</v>
      </c>
      <c r="E42" s="39" t="s">
        <v>169</v>
      </c>
      <c r="F42" s="34">
        <f>+'Seguim Proy inversión 2016'!F42/$D42</f>
        <v>0</v>
      </c>
      <c r="G42" s="34">
        <f>+'Seguim Proy inversión 2016'!G42/$D42</f>
        <v>0</v>
      </c>
      <c r="H42" s="34">
        <f>+'Seguim Proy inversión 2016'!H42/$D42</f>
        <v>0</v>
      </c>
      <c r="I42" s="34">
        <f>+'Seguim Proy inversión 2016'!I42/$D42</f>
        <v>0</v>
      </c>
      <c r="J42" s="34">
        <f>+'Seguim Proy inversión 2016'!J42/$D42</f>
        <v>0</v>
      </c>
      <c r="K42" s="34">
        <f>+'Seguim Proy inversión 2016'!K42/$D42</f>
        <v>0</v>
      </c>
      <c r="L42" s="34"/>
      <c r="M42" s="34"/>
      <c r="N42" s="34"/>
      <c r="O42" s="34"/>
      <c r="P42" s="34"/>
      <c r="Q42" s="34"/>
      <c r="R42" s="34">
        <f>+'Seguim Proy inversión 2016'!R42/$D42</f>
        <v>0</v>
      </c>
      <c r="S42" s="34"/>
      <c r="T42" s="173"/>
      <c r="U42" s="191"/>
    </row>
    <row r="43" spans="1:21" ht="12.75" customHeight="1">
      <c r="A43" s="173"/>
      <c r="B43" s="173">
        <v>784</v>
      </c>
      <c r="C43" s="7" t="s">
        <v>170</v>
      </c>
      <c r="D43" s="40">
        <v>1</v>
      </c>
      <c r="E43" s="39" t="s">
        <v>171</v>
      </c>
      <c r="F43" s="34">
        <f>+'Seguim Proy inversión 2016'!F43/$D43</f>
        <v>1</v>
      </c>
      <c r="G43" s="34">
        <f>+'Seguim Proy inversión 2016'!G43/$D43</f>
        <v>1</v>
      </c>
      <c r="H43" s="34">
        <f>+'Seguim Proy inversión 2016'!H43/$D43</f>
        <v>1</v>
      </c>
      <c r="I43" s="34">
        <f>+'Seguim Proy inversión 2016'!I43/$D43</f>
        <v>1</v>
      </c>
      <c r="J43" s="34">
        <f>+'Seguim Proy inversión 2016'!J43/$D43</f>
        <v>1</v>
      </c>
      <c r="K43" s="34">
        <f>+'Seguim Proy inversión 2016'!K43/$D43</f>
        <v>0</v>
      </c>
      <c r="L43" s="34"/>
      <c r="M43" s="34"/>
      <c r="N43" s="34"/>
      <c r="O43" s="34"/>
      <c r="P43" s="34"/>
      <c r="Q43" s="34"/>
      <c r="R43" s="34">
        <f>+'Seguim Proy inversión 2016'!R43/$D43</f>
        <v>1</v>
      </c>
      <c r="S43" s="34">
        <v>0.30000000000000004</v>
      </c>
      <c r="T43" s="173">
        <v>784</v>
      </c>
      <c r="U43" s="191">
        <f>+R43*S43+R44*S44+R45*S45</f>
        <v>0.88600000000000012</v>
      </c>
    </row>
    <row r="44" spans="1:21" ht="12.75" customHeight="1">
      <c r="A44" s="173"/>
      <c r="B44" s="173"/>
      <c r="C44" s="7" t="s">
        <v>172</v>
      </c>
      <c r="D44" s="38">
        <v>2</v>
      </c>
      <c r="E44" s="39" t="s">
        <v>173</v>
      </c>
      <c r="F44" s="34">
        <f>+'Seguim Proy inversión 2016'!F44/$D44</f>
        <v>1</v>
      </c>
      <c r="G44" s="34">
        <f>+'Seguim Proy inversión 2016'!G44/$D44</f>
        <v>1</v>
      </c>
      <c r="H44" s="34">
        <f>+'Seguim Proy inversión 2016'!H44/$D44</f>
        <v>1</v>
      </c>
      <c r="I44" s="34">
        <f>+'Seguim Proy inversión 2016'!I44/$D44</f>
        <v>1</v>
      </c>
      <c r="J44" s="34">
        <f>+'Seguim Proy inversión 2016'!J44/$D44</f>
        <v>1</v>
      </c>
      <c r="K44" s="34">
        <f>+'Seguim Proy inversión 2016'!K44/$D44</f>
        <v>0</v>
      </c>
      <c r="L44" s="34"/>
      <c r="M44" s="34"/>
      <c r="N44" s="34"/>
      <c r="O44" s="34"/>
      <c r="P44" s="34"/>
      <c r="Q44" s="34"/>
      <c r="R44" s="34">
        <f>+'Seguim Proy inversión 2016'!R44/$D44</f>
        <v>1</v>
      </c>
      <c r="S44" s="34">
        <v>0.1</v>
      </c>
      <c r="T44" s="173"/>
      <c r="U44" s="191"/>
    </row>
    <row r="45" spans="1:21" ht="12.75" customHeight="1">
      <c r="A45" s="173"/>
      <c r="B45" s="173"/>
      <c r="C45" s="7" t="s">
        <v>174</v>
      </c>
      <c r="D45" s="44">
        <v>1</v>
      </c>
      <c r="E45" s="39" t="s">
        <v>175</v>
      </c>
      <c r="F45" s="34">
        <f>+'Seguim Proy inversión 2016'!F45/$D45</f>
        <v>0</v>
      </c>
      <c r="G45" s="34">
        <f>+'Seguim Proy inversión 2016'!G45/$D45</f>
        <v>0</v>
      </c>
      <c r="H45" s="34">
        <f>+'Seguim Proy inversión 2016'!H45/$D45</f>
        <v>0.78</v>
      </c>
      <c r="I45" s="34">
        <f>+'Seguim Proy inversión 2016'!I45/$D45</f>
        <v>0.78</v>
      </c>
      <c r="J45" s="34">
        <f>+'Seguim Proy inversión 2016'!J45/$D45</f>
        <v>0.81</v>
      </c>
      <c r="K45" s="34">
        <f>+'Seguim Proy inversión 2016'!K45/$D45</f>
        <v>0</v>
      </c>
      <c r="L45" s="34"/>
      <c r="M45" s="34"/>
      <c r="N45" s="34"/>
      <c r="O45" s="34"/>
      <c r="P45" s="34"/>
      <c r="Q45" s="34"/>
      <c r="R45" s="34">
        <f>+'Seguim Proy inversión 2016'!R45/$D45</f>
        <v>0.81</v>
      </c>
      <c r="S45" s="34">
        <v>0.60000000000000009</v>
      </c>
      <c r="T45" s="173"/>
      <c r="U45" s="191"/>
    </row>
    <row r="46" spans="1:21" ht="12.75" customHeight="1">
      <c r="A46" s="173"/>
      <c r="B46" s="173">
        <v>794</v>
      </c>
      <c r="C46" s="7" t="s">
        <v>134</v>
      </c>
      <c r="D46" s="38">
        <v>1000000</v>
      </c>
      <c r="E46" s="39" t="s">
        <v>176</v>
      </c>
      <c r="F46" s="34">
        <f>+'Seguim Proy inversión 2016'!F46/$D46</f>
        <v>1.3777710000000001</v>
      </c>
      <c r="G46" s="34">
        <f>+'Seguim Proy inversión 2016'!G46/$D46</f>
        <v>1.4192629999999999</v>
      </c>
      <c r="H46" s="34">
        <f>+'Seguim Proy inversión 2016'!H46/$D46</f>
        <v>1.445252</v>
      </c>
      <c r="I46" s="34">
        <f>+'Seguim Proy inversión 2016'!I46/$D46</f>
        <v>1.4453320000000001</v>
      </c>
      <c r="J46" s="34">
        <f>+'Seguim Proy inversión 2016'!J46/$D46</f>
        <v>1.5052030000000001</v>
      </c>
      <c r="K46" s="34">
        <f>+'Seguim Proy inversión 2016'!K46/$D46</f>
        <v>0</v>
      </c>
      <c r="L46" s="34"/>
      <c r="M46" s="34"/>
      <c r="N46" s="34"/>
      <c r="O46" s="34"/>
      <c r="P46" s="34"/>
      <c r="Q46" s="34"/>
      <c r="R46" s="34">
        <f>+'Seguim Proy inversión 2016'!T46</f>
        <v>1.1209039999999999</v>
      </c>
      <c r="S46" s="34">
        <v>0.2</v>
      </c>
      <c r="T46" s="173">
        <v>794</v>
      </c>
      <c r="U46" s="191">
        <f>+R46*S46+R47*S47+R48*S48</f>
        <v>1.1723808000000002</v>
      </c>
    </row>
    <row r="47" spans="1:21" ht="12.75" customHeight="1">
      <c r="A47" s="173"/>
      <c r="B47" s="173"/>
      <c r="C47" s="7" t="s">
        <v>134</v>
      </c>
      <c r="D47" s="38">
        <v>3000</v>
      </c>
      <c r="E47" s="39" t="s">
        <v>177</v>
      </c>
      <c r="F47" s="34">
        <f>+'Seguim Proy inversión 2016'!F47/$D47</f>
        <v>2.3333333333333335E-3</v>
      </c>
      <c r="G47" s="34">
        <f>+'Seguim Proy inversión 2016'!G47/$D47</f>
        <v>2.6666666666666668E-2</v>
      </c>
      <c r="H47" s="34">
        <f>+'Seguim Proy inversión 2016'!H47/$D47</f>
        <v>1.2333333333333333E-2</v>
      </c>
      <c r="I47" s="34">
        <f>+'Seguim Proy inversión 2016'!I47/$D47</f>
        <v>5.5333333333333332E-2</v>
      </c>
      <c r="J47" s="34">
        <f>+'Seguim Proy inversión 2016'!J47/$D47</f>
        <v>6.3333333333333339E-2</v>
      </c>
      <c r="K47" s="34">
        <f>+'Seguim Proy inversión 2016'!K47/$D47</f>
        <v>0</v>
      </c>
      <c r="L47" s="34"/>
      <c r="M47" s="34"/>
      <c r="N47" s="34"/>
      <c r="O47" s="34"/>
      <c r="P47" s="34"/>
      <c r="Q47" s="34"/>
      <c r="R47" s="34">
        <f>+'Seguim Proy inversión 2016'!T47</f>
        <v>1.2470000000000001</v>
      </c>
      <c r="S47" s="34">
        <v>0.60000000000000009</v>
      </c>
      <c r="T47" s="173"/>
      <c r="U47" s="191"/>
    </row>
    <row r="48" spans="1:21" ht="12.75" customHeight="1">
      <c r="A48" s="173"/>
      <c r="B48" s="173"/>
      <c r="C48" s="7" t="s">
        <v>178</v>
      </c>
      <c r="D48" s="38">
        <v>1</v>
      </c>
      <c r="E48" s="39" t="s">
        <v>179</v>
      </c>
      <c r="F48" s="34">
        <f>+'Seguim Proy inversión 2016'!F48/$D48</f>
        <v>1</v>
      </c>
      <c r="G48" s="34">
        <f>+'Seguim Proy inversión 2016'!G48/$D48</f>
        <v>1</v>
      </c>
      <c r="H48" s="34">
        <f>+'Seguim Proy inversión 2016'!H48/$D48</f>
        <v>1</v>
      </c>
      <c r="I48" s="34">
        <f>+'Seguim Proy inversión 2016'!I48/$D48</f>
        <v>1</v>
      </c>
      <c r="J48" s="34">
        <f>+'Seguim Proy inversión 2016'!J48/$D48</f>
        <v>1</v>
      </c>
      <c r="K48" s="34">
        <f>+'Seguim Proy inversión 2016'!K48/$D48</f>
        <v>0</v>
      </c>
      <c r="L48" s="34"/>
      <c r="M48" s="34"/>
      <c r="N48" s="34"/>
      <c r="O48" s="34"/>
      <c r="P48" s="34"/>
      <c r="Q48" s="34"/>
      <c r="R48" s="34">
        <f>+'Seguim Proy inversión 2016'!R48/$D48</f>
        <v>1</v>
      </c>
      <c r="S48" s="34">
        <v>0.2</v>
      </c>
      <c r="T48" s="173"/>
      <c r="U48" s="191"/>
    </row>
    <row r="49" spans="1:21" ht="12.75" customHeight="1">
      <c r="A49" s="173"/>
      <c r="B49" s="173" t="s">
        <v>187</v>
      </c>
      <c r="C49" s="173"/>
      <c r="D49" s="173"/>
      <c r="E49" s="173"/>
      <c r="F49" s="46">
        <f t="shared" ref="F49:K49" si="0">SUM(F15:F48)/34</f>
        <v>0.26853568979033265</v>
      </c>
      <c r="G49" s="46">
        <f t="shared" si="0"/>
        <v>0.27696602696823358</v>
      </c>
      <c r="H49" s="46">
        <f t="shared" si="0"/>
        <v>0.36989659176067535</v>
      </c>
      <c r="I49" s="46">
        <f t="shared" si="0"/>
        <v>0.43729619838902978</v>
      </c>
      <c r="J49" s="46">
        <f t="shared" si="0"/>
        <v>0.61353805191997979</v>
      </c>
      <c r="K49" s="46">
        <f t="shared" si="0"/>
        <v>0</v>
      </c>
      <c r="L49" s="46"/>
      <c r="M49" s="46"/>
      <c r="N49" s="46"/>
      <c r="O49" s="46"/>
      <c r="P49" s="46"/>
      <c r="Q49" s="46"/>
      <c r="R49" s="50">
        <f>SUM(R15:R48)/34</f>
        <v>0.86930084847726241</v>
      </c>
      <c r="S49" s="50"/>
      <c r="T49" s="193">
        <f>+SUM(U15:U48)/10</f>
        <v>0.9205150443081459</v>
      </c>
      <c r="U49" s="193"/>
    </row>
    <row r="50" spans="1:21" ht="12.75" customHeight="1">
      <c r="A50" s="173"/>
      <c r="B50" s="173" t="s">
        <v>181</v>
      </c>
      <c r="C50" s="173"/>
      <c r="D50" s="173"/>
      <c r="E50" s="173"/>
      <c r="F50" s="46">
        <f>+F49</f>
        <v>0.26853568979033265</v>
      </c>
      <c r="G50" s="46">
        <f>+F49+G49</f>
        <v>0.54550171675856629</v>
      </c>
      <c r="H50" s="46">
        <f>+G49+H49</f>
        <v>0.64686261872890893</v>
      </c>
      <c r="I50" s="46">
        <f>+H49+I49</f>
        <v>0.80719279014970513</v>
      </c>
      <c r="J50" s="46">
        <f>+I49+J49</f>
        <v>1.0508342503090096</v>
      </c>
      <c r="K50" s="46">
        <f>+J49+K49</f>
        <v>0.61353805191997979</v>
      </c>
      <c r="L50" s="46"/>
      <c r="M50" s="46"/>
      <c r="N50" s="46"/>
      <c r="O50" s="46"/>
      <c r="P50" s="46"/>
      <c r="Q50" s="46"/>
      <c r="R50" s="46">
        <f>+R49-Q49</f>
        <v>0.86930084847726241</v>
      </c>
      <c r="S50" s="46"/>
      <c r="T50" s="193">
        <f>+R50</f>
        <v>0.86930084847726241</v>
      </c>
      <c r="U50" s="193"/>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5"/>
    </row>
    <row r="52" spans="1:21" ht="30" customHeight="1">
      <c r="A52" s="175"/>
      <c r="B52" s="175"/>
      <c r="C52" s="175"/>
      <c r="D52" s="175"/>
      <c r="E52" s="175"/>
      <c r="F52" s="175"/>
      <c r="G52" s="175"/>
      <c r="H52" s="175"/>
      <c r="I52" s="175"/>
      <c r="J52" s="175"/>
      <c r="K52" s="175"/>
      <c r="L52" s="175"/>
      <c r="M52" s="175"/>
      <c r="N52" s="176"/>
      <c r="O52" s="176"/>
      <c r="P52" s="176"/>
      <c r="Q52" s="176"/>
      <c r="R52" s="176"/>
      <c r="S52" s="176"/>
      <c r="T52" s="176"/>
      <c r="U52" s="176"/>
    </row>
    <row r="53" spans="1:21" ht="36.6" customHeight="1">
      <c r="A53" s="21"/>
      <c r="B53" s="21"/>
      <c r="C53" s="21"/>
      <c r="D53" s="21"/>
      <c r="E53" s="21"/>
      <c r="F53" s="21"/>
      <c r="G53" s="21"/>
      <c r="H53" s="21"/>
      <c r="I53" s="21"/>
      <c r="J53" s="21"/>
      <c r="K53" s="22"/>
      <c r="L53" s="22"/>
      <c r="M53" s="22"/>
      <c r="N53" s="177" t="s">
        <v>182</v>
      </c>
      <c r="O53" s="177"/>
      <c r="P53" s="177"/>
      <c r="Q53" s="177"/>
      <c r="R53" s="177"/>
      <c r="S53" s="177"/>
      <c r="T53" s="177"/>
      <c r="U53" s="177"/>
    </row>
    <row r="54" spans="1:21" ht="36.6" customHeight="1">
      <c r="A54" s="21"/>
      <c r="B54" s="21"/>
      <c r="C54" s="21"/>
      <c r="D54" s="21"/>
      <c r="E54" s="21"/>
      <c r="F54" s="21"/>
      <c r="G54" s="21"/>
      <c r="H54" s="21"/>
      <c r="I54" s="21"/>
      <c r="J54" s="21"/>
      <c r="K54" s="22"/>
      <c r="L54" s="22"/>
      <c r="M54" s="22"/>
      <c r="N54" s="173" t="s">
        <v>26</v>
      </c>
      <c r="O54" s="173"/>
      <c r="P54" s="173"/>
      <c r="Q54" s="173"/>
      <c r="R54" s="173"/>
      <c r="S54" s="173"/>
      <c r="T54" s="173"/>
      <c r="U54" s="173"/>
    </row>
    <row r="55" spans="1:21" ht="36.6" customHeight="1">
      <c r="A55" s="21"/>
      <c r="B55" s="21"/>
      <c r="C55" s="21"/>
      <c r="D55" s="21"/>
      <c r="E55" s="21"/>
      <c r="F55" s="21"/>
      <c r="G55" s="21"/>
      <c r="H55" s="21"/>
      <c r="I55" s="21"/>
      <c r="J55" s="21"/>
      <c r="K55" s="22"/>
      <c r="L55" s="22"/>
      <c r="M55" s="22"/>
      <c r="N55" s="173" t="s">
        <v>27</v>
      </c>
      <c r="O55" s="173"/>
      <c r="P55" s="173"/>
      <c r="Q55" s="173"/>
      <c r="R55" s="173"/>
      <c r="S55" s="173"/>
      <c r="T55" s="173"/>
      <c r="U55" s="173"/>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T15:T16"/>
    <mergeCell ref="U15:U16"/>
    <mergeCell ref="B17:B18"/>
    <mergeCell ref="T17:T18"/>
    <mergeCell ref="U17:U18"/>
    <mergeCell ref="B19:B21"/>
    <mergeCell ref="T19:T21"/>
    <mergeCell ref="U19:U21"/>
    <mergeCell ref="B22:B29"/>
    <mergeCell ref="T22:T29"/>
    <mergeCell ref="U22:U29"/>
    <mergeCell ref="B30:B34"/>
    <mergeCell ref="T30:T34"/>
    <mergeCell ref="U30:U34"/>
    <mergeCell ref="B35:B38"/>
    <mergeCell ref="T35:T38"/>
    <mergeCell ref="U35:U38"/>
    <mergeCell ref="B40:B42"/>
    <mergeCell ref="T40:T42"/>
    <mergeCell ref="U40:U42"/>
    <mergeCell ref="B43:B45"/>
    <mergeCell ref="T43:T45"/>
    <mergeCell ref="U43:U45"/>
    <mergeCell ref="B46:B48"/>
    <mergeCell ref="T46:T48"/>
    <mergeCell ref="U46:U48"/>
    <mergeCell ref="N53:U53"/>
    <mergeCell ref="N54:U54"/>
    <mergeCell ref="N55:U55"/>
    <mergeCell ref="B49:E49"/>
    <mergeCell ref="T49:U49"/>
    <mergeCell ref="B50:E50"/>
    <mergeCell ref="T50:U50"/>
    <mergeCell ref="A52:M52"/>
    <mergeCell ref="N52:U52"/>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35" zoomScale="75" zoomScaleNormal="75" workbookViewId="0">
      <selection activeCell="A39" sqref="A1:L49"/>
    </sheetView>
  </sheetViews>
  <sheetFormatPr baseColWidth="10" defaultRowHeight="14.65" customHeight="1"/>
  <cols>
    <col min="1" max="1" width="23.28515625" style="1" customWidth="1"/>
    <col min="2" max="3" width="18.28515625" style="1" customWidth="1"/>
    <col min="4" max="4" width="23.42578125" style="1" customWidth="1"/>
    <col min="5" max="5" width="18.28515625" style="1" customWidth="1"/>
    <col min="6" max="6" width="22.28515625" style="1" customWidth="1"/>
    <col min="7" max="7" width="20.85546875" style="1" customWidth="1"/>
    <col min="8" max="8" width="22.28515625" style="1" customWidth="1"/>
    <col min="9" max="9" width="19.140625" style="1" customWidth="1"/>
    <col min="10" max="10" width="12" style="1" customWidth="1"/>
    <col min="11" max="11" width="10.7109375" style="1" customWidth="1"/>
    <col min="12" max="12" width="18.85546875" style="1" customWidth="1"/>
    <col min="13" max="16384" width="11.42578125" style="1"/>
  </cols>
  <sheetData>
    <row r="1" spans="1:12" s="3" customFormat="1" ht="13.9" customHeight="1">
      <c r="A1" s="52"/>
      <c r="B1" s="53"/>
      <c r="C1" s="196" t="s">
        <v>0</v>
      </c>
      <c r="D1" s="196"/>
      <c r="E1" s="196"/>
      <c r="F1" s="196"/>
      <c r="G1" s="196"/>
      <c r="H1" s="196"/>
      <c r="I1" s="190" t="s">
        <v>28</v>
      </c>
      <c r="J1" s="190"/>
      <c r="K1" s="190"/>
      <c r="L1" s="190"/>
    </row>
    <row r="2" spans="1:12" s="3" customFormat="1" ht="13.9" customHeight="1">
      <c r="A2" s="54"/>
      <c r="B2" s="55"/>
      <c r="C2" s="196"/>
      <c r="D2" s="196"/>
      <c r="E2" s="196"/>
      <c r="F2" s="196"/>
      <c r="G2" s="196"/>
      <c r="H2" s="196"/>
      <c r="I2" s="190"/>
      <c r="J2" s="190"/>
      <c r="K2" s="190"/>
      <c r="L2" s="190"/>
    </row>
    <row r="3" spans="1:12" s="3" customFormat="1" ht="13.9" customHeight="1">
      <c r="A3" s="54"/>
      <c r="B3" s="55"/>
      <c r="C3" s="196"/>
      <c r="D3" s="196"/>
      <c r="E3" s="196"/>
      <c r="F3" s="196"/>
      <c r="G3" s="196"/>
      <c r="H3" s="196"/>
      <c r="I3" s="190" t="s">
        <v>29</v>
      </c>
      <c r="J3" s="190"/>
      <c r="K3" s="190"/>
      <c r="L3" s="190"/>
    </row>
    <row r="4" spans="1:12" s="3" customFormat="1" ht="13.9" customHeight="1">
      <c r="A4" s="54"/>
      <c r="B4" s="55"/>
      <c r="C4" s="196" t="s">
        <v>30</v>
      </c>
      <c r="D4" s="196"/>
      <c r="E4" s="196"/>
      <c r="F4" s="196"/>
      <c r="G4" s="196"/>
      <c r="H4" s="196"/>
      <c r="I4" s="190"/>
      <c r="J4" s="190"/>
      <c r="K4" s="190"/>
      <c r="L4" s="190"/>
    </row>
    <row r="5" spans="1:12" s="3" customFormat="1" ht="13.9" customHeight="1">
      <c r="A5" s="54"/>
      <c r="B5" s="55"/>
      <c r="C5" s="196"/>
      <c r="D5" s="196"/>
      <c r="E5" s="196"/>
      <c r="F5" s="196"/>
      <c r="G5" s="196"/>
      <c r="H5" s="196"/>
      <c r="I5" s="190" t="s">
        <v>31</v>
      </c>
      <c r="J5" s="190"/>
      <c r="K5" s="190"/>
      <c r="L5" s="190"/>
    </row>
    <row r="6" spans="1:12" s="3" customFormat="1" ht="13.9" customHeight="1">
      <c r="A6" s="56"/>
      <c r="B6" s="57"/>
      <c r="C6" s="196"/>
      <c r="D6" s="196"/>
      <c r="E6" s="196"/>
      <c r="F6" s="196"/>
      <c r="G6" s="196"/>
      <c r="H6" s="196"/>
      <c r="I6" s="190"/>
      <c r="J6" s="190"/>
      <c r="K6" s="190"/>
      <c r="L6" s="190"/>
    </row>
    <row r="7" spans="1:12" s="3" customFormat="1" ht="12.75" customHeight="1">
      <c r="A7" s="180"/>
      <c r="B7" s="180"/>
      <c r="C7" s="180"/>
      <c r="D7" s="180"/>
      <c r="E7" s="180"/>
      <c r="F7" s="180"/>
      <c r="G7" s="180"/>
      <c r="H7" s="180"/>
      <c r="I7" s="180"/>
      <c r="J7" s="180"/>
      <c r="K7" s="180"/>
      <c r="L7" s="180"/>
    </row>
    <row r="8" spans="1:12" ht="30" customHeight="1">
      <c r="A8" s="174" t="s">
        <v>2</v>
      </c>
      <c r="B8" s="174"/>
      <c r="C8" s="174"/>
      <c r="D8" s="174"/>
      <c r="E8" s="174"/>
      <c r="F8" s="174"/>
      <c r="G8" s="174"/>
      <c r="H8" s="174"/>
      <c r="I8" s="174"/>
      <c r="J8" s="174"/>
      <c r="K8" s="174"/>
      <c r="L8" s="174"/>
    </row>
    <row r="9" spans="1:12" ht="42" customHeight="1">
      <c r="A9" s="183" t="s">
        <v>3</v>
      </c>
      <c r="B9" s="183"/>
      <c r="C9" s="183"/>
      <c r="D9" s="178" t="s">
        <v>110</v>
      </c>
      <c r="E9" s="178"/>
      <c r="F9" s="178"/>
      <c r="G9" s="183" t="s">
        <v>5</v>
      </c>
      <c r="H9" s="183"/>
      <c r="I9" s="186" t="s">
        <v>111</v>
      </c>
      <c r="J9" s="186"/>
      <c r="K9" s="186"/>
      <c r="L9" s="186"/>
    </row>
    <row r="10" spans="1:12" ht="42" customHeight="1">
      <c r="A10" s="183" t="s">
        <v>7</v>
      </c>
      <c r="B10" s="183"/>
      <c r="C10" s="183"/>
      <c r="D10" s="178" t="s">
        <v>8</v>
      </c>
      <c r="E10" s="178"/>
      <c r="F10" s="178"/>
      <c r="G10" s="183" t="s">
        <v>9</v>
      </c>
      <c r="H10" s="183"/>
      <c r="I10" s="186" t="s">
        <v>10</v>
      </c>
      <c r="J10" s="186"/>
      <c r="K10" s="186"/>
      <c r="L10" s="186"/>
    </row>
    <row r="11" spans="1:12" ht="66" customHeight="1">
      <c r="A11" s="183" t="s">
        <v>11</v>
      </c>
      <c r="B11" s="183"/>
      <c r="C11" s="183"/>
      <c r="D11" s="178" t="s">
        <v>189</v>
      </c>
      <c r="E11" s="178"/>
      <c r="F11" s="178"/>
      <c r="G11" s="183" t="s">
        <v>32</v>
      </c>
      <c r="H11" s="183"/>
      <c r="I11" s="186" t="s">
        <v>33</v>
      </c>
      <c r="J11" s="186"/>
      <c r="K11" s="186"/>
      <c r="L11" s="186"/>
    </row>
    <row r="12" spans="1:12" ht="75.75" customHeight="1">
      <c r="A12" s="183" t="s">
        <v>34</v>
      </c>
      <c r="B12" s="183"/>
      <c r="C12" s="183"/>
      <c r="D12" s="178" t="s">
        <v>190</v>
      </c>
      <c r="E12" s="178"/>
      <c r="F12" s="178"/>
      <c r="G12" s="183" t="s">
        <v>36</v>
      </c>
      <c r="H12" s="183"/>
      <c r="I12" s="186" t="s">
        <v>37</v>
      </c>
      <c r="J12" s="186"/>
      <c r="K12" s="186"/>
      <c r="L12" s="186"/>
    </row>
    <row r="13" spans="1:12" ht="62.25" customHeight="1">
      <c r="A13" s="183" t="s">
        <v>38</v>
      </c>
      <c r="B13" s="183"/>
      <c r="C13" s="183"/>
      <c r="D13" s="178" t="s">
        <v>191</v>
      </c>
      <c r="E13" s="178"/>
      <c r="F13" s="178"/>
      <c r="G13" s="183" t="s">
        <v>40</v>
      </c>
      <c r="H13" s="183"/>
      <c r="I13" s="186" t="s">
        <v>192</v>
      </c>
      <c r="J13" s="186"/>
      <c r="K13" s="186"/>
      <c r="L13" s="186"/>
    </row>
    <row r="14" spans="1:12" ht="75.75" customHeight="1">
      <c r="A14" s="183" t="s">
        <v>42</v>
      </c>
      <c r="B14" s="183"/>
      <c r="C14" s="183"/>
      <c r="D14" s="178" t="s">
        <v>193</v>
      </c>
      <c r="E14" s="178"/>
      <c r="F14" s="178"/>
      <c r="G14" s="183" t="s">
        <v>44</v>
      </c>
      <c r="H14" s="183"/>
      <c r="I14" s="186" t="s">
        <v>194</v>
      </c>
      <c r="J14" s="186"/>
      <c r="K14" s="186"/>
      <c r="L14" s="186"/>
    </row>
    <row r="15" spans="1:12" ht="42.4" customHeight="1">
      <c r="A15" s="183" t="s">
        <v>46</v>
      </c>
      <c r="B15" s="183"/>
      <c r="C15" s="183"/>
      <c r="D15" s="173" t="s">
        <v>47</v>
      </c>
      <c r="E15" s="173"/>
      <c r="F15" s="173"/>
      <c r="G15" s="183" t="s">
        <v>48</v>
      </c>
      <c r="H15" s="183"/>
      <c r="I15" s="173" t="s">
        <v>49</v>
      </c>
      <c r="J15" s="173"/>
      <c r="K15" s="173"/>
      <c r="L15" s="173"/>
    </row>
    <row r="16" spans="1:12" ht="41.25" customHeight="1">
      <c r="A16" s="183"/>
      <c r="B16" s="183"/>
      <c r="C16" s="183"/>
      <c r="D16" s="173" t="s">
        <v>50</v>
      </c>
      <c r="E16" s="173"/>
      <c r="F16" s="173"/>
      <c r="G16" s="183"/>
      <c r="H16" s="183"/>
      <c r="I16" s="173" t="s">
        <v>51</v>
      </c>
      <c r="J16" s="173"/>
      <c r="K16" s="173"/>
      <c r="L16" s="173"/>
    </row>
    <row r="17" spans="1:15" ht="6.75" customHeight="1"/>
    <row r="18" spans="1:15" ht="30" customHeight="1">
      <c r="A18" s="174" t="s">
        <v>52</v>
      </c>
      <c r="B18" s="174"/>
      <c r="C18" s="174"/>
      <c r="D18" s="174"/>
      <c r="E18" s="174"/>
      <c r="F18" s="174"/>
      <c r="G18" s="174"/>
      <c r="H18" s="174"/>
      <c r="I18" s="174"/>
      <c r="J18" s="174"/>
      <c r="K18" s="174"/>
      <c r="L18" s="174"/>
    </row>
    <row r="19" spans="1:15" ht="15" customHeight="1">
      <c r="A19" s="29" t="s">
        <v>195</v>
      </c>
      <c r="B19" s="29">
        <v>2012</v>
      </c>
      <c r="C19" s="29" t="s">
        <v>196</v>
      </c>
      <c r="D19" s="30">
        <v>2013</v>
      </c>
      <c r="E19" s="29" t="s">
        <v>196</v>
      </c>
      <c r="F19" s="29">
        <v>2014</v>
      </c>
      <c r="G19" s="29" t="s">
        <v>196</v>
      </c>
      <c r="H19" s="29">
        <v>2015</v>
      </c>
      <c r="I19" s="29" t="s">
        <v>196</v>
      </c>
      <c r="J19" s="183">
        <v>2016</v>
      </c>
      <c r="K19" s="183"/>
      <c r="L19" s="29" t="s">
        <v>197</v>
      </c>
      <c r="N19" s="1" t="s">
        <v>462</v>
      </c>
      <c r="O19" s="1" t="s">
        <v>463</v>
      </c>
    </row>
    <row r="20" spans="1:15" ht="14.25" customHeight="1">
      <c r="A20" s="7">
        <v>914</v>
      </c>
      <c r="B20" s="7" t="s">
        <v>198</v>
      </c>
      <c r="C20" s="58" t="s">
        <v>198</v>
      </c>
      <c r="D20" s="41">
        <f>+((104.43*0.7)+(220*0.3))/100</f>
        <v>1.3910100000000003</v>
      </c>
      <c r="E20" s="59">
        <f>+(31330/92000)*0.7+(11/65)*0.3</f>
        <v>0.28914966555183946</v>
      </c>
      <c r="F20" s="60">
        <f>+(46575/46575)*0.7+(4/4)*0.3</f>
        <v>1</v>
      </c>
      <c r="G20" s="61">
        <f>+(46575/92000)*0.7+(15/65)*0.3</f>
        <v>0.42360576923076926</v>
      </c>
      <c r="H20" s="34">
        <f>+'Seguim Avance  % Metas 2015'!U15</f>
        <v>0.92765108695652176</v>
      </c>
      <c r="I20" s="62">
        <f>+(80027/92000)*0.7+(85/80)*0.3</f>
        <v>0.92765108695652176</v>
      </c>
      <c r="J20" s="194">
        <f>+'Seguim Avance  % Metas 2016'!U15</f>
        <v>0.64504891304347822</v>
      </c>
      <c r="K20" s="194"/>
      <c r="L20" s="63">
        <f>+MAX(J20,I20)</f>
        <v>0.92765108695652176</v>
      </c>
      <c r="N20" s="1">
        <v>2012</v>
      </c>
      <c r="O20" s="84">
        <f>+C31</f>
        <v>0.93878764505245582</v>
      </c>
    </row>
    <row r="21" spans="1:15" ht="14.25" customHeight="1">
      <c r="A21" s="7">
        <v>915</v>
      </c>
      <c r="B21" s="7" t="s">
        <v>198</v>
      </c>
      <c r="C21" s="58" t="s">
        <v>198</v>
      </c>
      <c r="D21" s="41">
        <f>+(1*0.7+0.82*0.3)</f>
        <v>0.94600000000000017</v>
      </c>
      <c r="E21" s="59">
        <f>+(8500/65216)*0.7+(41/150)*0.3</f>
        <v>0.17323527968596664</v>
      </c>
      <c r="F21" s="60">
        <f>+(36208/36208)*0.7+(41/41)*0.3</f>
        <v>1</v>
      </c>
      <c r="G21" s="61">
        <f>+(36208/65216)*0.7+(82/150)*0.3</f>
        <v>0.55264082433758588</v>
      </c>
      <c r="H21" s="34">
        <f>+'Seguim Avance  % Metas 2015'!U17</f>
        <v>0.94016790732186029</v>
      </c>
      <c r="I21" s="62">
        <f>+(58960/65216)*0.7+(124/150)*0.3</f>
        <v>0.88085083415112864</v>
      </c>
      <c r="J21" s="194">
        <f>+'Seguim Avance  % Metas 2016'!U17</f>
        <v>0.94063148731788337</v>
      </c>
      <c r="K21" s="194"/>
      <c r="L21" s="66">
        <f>+'Seguim Avance  % Metas 2016'!R17*'Seguim Avance  % Metas 2016'!S17+160/150*0.3</f>
        <v>0.84524687193326797</v>
      </c>
      <c r="N21" s="1">
        <v>2013</v>
      </c>
      <c r="O21" s="84">
        <f>+E31</f>
        <v>1.1060593476045544</v>
      </c>
    </row>
    <row r="22" spans="1:15" ht="14.25" customHeight="1">
      <c r="A22" s="7">
        <v>772</v>
      </c>
      <c r="B22" s="7" t="s">
        <v>198</v>
      </c>
      <c r="C22" s="58" t="s">
        <v>198</v>
      </c>
      <c r="D22" s="41">
        <f>1*0.4+1*0.5+1*0.1</f>
        <v>1</v>
      </c>
      <c r="E22" s="59">
        <f>+(2/6)*0.4+(25/100)*0.5+(1/5)*0.1</f>
        <v>0.27833333333333332</v>
      </c>
      <c r="F22" s="41">
        <f>1*0.4+1*0.5+1*0.1</f>
        <v>1</v>
      </c>
      <c r="G22" s="67">
        <f>+(3/6)*0.4+(50/100)*0.5+(2/5)*0.1</f>
        <v>0.49</v>
      </c>
      <c r="H22" s="34">
        <f>+'Seguim Avance  % Metas 2015'!U19</f>
        <v>0.9933333333333334</v>
      </c>
      <c r="I22" s="62">
        <f>+(5/6)*0.4+(100/100)*0.5+(3/5)*0.1</f>
        <v>0.89333333333333331</v>
      </c>
      <c r="J22" s="194">
        <f>+'Seguim Avance  % Metas 2016'!U19</f>
        <v>0.7</v>
      </c>
      <c r="K22" s="194"/>
      <c r="L22" s="66">
        <f>+(5/6)*0.4+(108/100)*0.5+(3/5)*0.1</f>
        <v>0.93333333333333335</v>
      </c>
      <c r="N22" s="1">
        <v>2014</v>
      </c>
      <c r="O22" s="84">
        <f>+G31</f>
        <v>1.0849561472461453</v>
      </c>
    </row>
    <row r="23" spans="1:15" ht="14.25" customHeight="1">
      <c r="A23" s="7">
        <v>795</v>
      </c>
      <c r="B23" s="41">
        <f>+(1051971/1140000)*0.15+(9686/10000)*0.15+(258674/260000)*0.05+(453/453)*0.25+(45548/45548)*0.15+(1/1)*0.05+(1/1)*0.05+(20/20)*0.15</f>
        <v>0.98345223684210548</v>
      </c>
      <c r="C23" s="68">
        <f>+(1051971/(1140000*4))*0.15+(9686/(10000*4))*0.15+(258674/(260000*4))*0.05+(453/2486)*0.25+(45548/303000)*0.15+(1/50)*0.05+(1/7)*0.05+(20/107.36)*0.15</f>
        <v>0.1875529079203771</v>
      </c>
      <c r="D23" s="41">
        <f>+(1048011/1140000)*0.15+(9658/10000)*0.15+(278530/260000)*0.05+(658/658)*0.25+(65050/63000)*0.15+(14/6)*0.05+(4/4)*0.05+(20/20)*0.15</f>
        <v>1.057877264796607</v>
      </c>
      <c r="E23" s="59">
        <f>+((1048011)/(1140000*4)*0.15+(9658/(10000*4)*0.15+(278530/(260000*4)*0.05+(658/2486)*0.25+(65050/303000)*0.15+(14/50)*0.05+(3/7)*0.05+(20/107.36)*0.15)))+C23</f>
        <v>0.43338078429913596</v>
      </c>
      <c r="F23" s="63">
        <f>+(1680645/1140000)*0.15+(14148/10000)*0.15+(448820/260000)*0.05+(574/574)*0.25+(71165/71165)*0.15+(23/23)*0.05+(4/4)*0.05+(28/20)*0.15</f>
        <v>1.2296690384615385</v>
      </c>
      <c r="G23" s="67">
        <f>+(1680645)/(1140000*4)*0.15+(14148/(10000*4)*0.15+(448820/(260000*4)*0.05+(574/2486)*0.25+(71165/303000)*0.15+(25/50)*0.05+(0/7)*0.05+(27.85/107.36)*0.15))+E23</f>
        <v>0.72016263222486765</v>
      </c>
      <c r="H23" s="34">
        <f>+'Seguim Avance  % Metas 2015'!U22</f>
        <v>1.1770398781977751</v>
      </c>
      <c r="I23" s="62">
        <f>+('Seguim Proy inversión 2015'!R22)/(1140000*4)*0.15+('Seguim Proy inversión 2015'!R24/(10000*4)*0.15+('Seguim Proy inversión 2015'!R23/(260000*4)*0.05+('Seguim Proy inversión 2015'!R25/2486)*0.25+('Seguim Proy inversión 2015'!R27/303000)*0.15+(10/50)*0.05+(1/7)*0.05+(20/107.36)*0.15))+G23</f>
        <v>1.0254728353672296</v>
      </c>
      <c r="J23" s="194">
        <f>+'Seguim Avance  % Metas 2016'!U22</f>
        <v>1.0904908736724781</v>
      </c>
      <c r="K23" s="194"/>
      <c r="L23" s="63">
        <f>+('Seguim Proy inversión 2016'!R22)/(1140000*4)*0.15+('Seguim Proy inversión 2016'!R24/(10000*4)*0.15+('Seguim Proy inversión 2016'!R23/(260000*4)*0.05+('Seguim Proy inversión 2016'!R25/2486)*0.25+('Seguim Proy inversión 2016'!R27/303000)*0.15+(0/7)*0.1+(6/107.36)*0.15))+I23</f>
        <v>1.0842654373310741</v>
      </c>
      <c r="N23" s="1">
        <v>2015</v>
      </c>
      <c r="O23" s="84">
        <f>+I31</f>
        <v>1.1693351069448075</v>
      </c>
    </row>
    <row r="24" spans="1:15" ht="14.25" customHeight="1">
      <c r="A24" s="7">
        <v>783</v>
      </c>
      <c r="B24" s="41">
        <f>1*0.1+0*0.2+(424451/280000)*0.25+(688/2500)*0.25+1*0.2</f>
        <v>0.74777410714285719</v>
      </c>
      <c r="C24" s="68">
        <f>+(0.1/(0.49*5))*0.1+0*0.2+(277543/(280000*4))*0.25+(688/(2500*4))*0.25+(2/10)*0.2</f>
        <v>0.12323319515306122</v>
      </c>
      <c r="D24" s="41">
        <f>+(16/20)*0.1+1.18*0.2+1.7487*0.25+(2846/2500)*0.25+1*0.2</f>
        <v>1.2377749999999998</v>
      </c>
      <c r="E24" s="59">
        <f>+(0.1626/(0.49*5))*0.1+(356561/(300000*4))*0.2+(489625/(280000*4))*0.25+(2846/(2500*4))*0.25+(1/5)*0.2+C24</f>
        <v>0.40973805782312922</v>
      </c>
      <c r="F24" s="41">
        <f>+(28.47/28)*0.1+(453413/300000)*0.2+(437144/280000)*0.25+(3751/2500)*0.25+1*0.2</f>
        <v>1.3693610476190476</v>
      </c>
      <c r="G24" s="67">
        <f>+(0.2847/(0.49*5))*0.1+(453413/(300000*4))*0.2+(437144/(280000*4))*0.25+(3751/(2500*4))*0.25+(1/5)*0.2+E24</f>
        <v>0.72827908503401362</v>
      </c>
      <c r="H24" s="34">
        <f>+'Seguim Avance  % Metas 2015'!U30</f>
        <v>1.3587300034013605</v>
      </c>
      <c r="I24" s="62">
        <f>+('Seguim Proy inversión 2015'!R31/(0.49*5))*0.1+('Seguim Proy inversión 2015'!R32/(300000*4))*0.2+'Seguim Proy inversión 2015'!R33/(280000*4)*0.25+('Seguim Proy inversión 2015'!R34/(2500*4))*0.25+(1/5)*0.2+G24</f>
        <v>1.0904351509353742</v>
      </c>
      <c r="J24" s="194">
        <f>+'Seguim Avance  % Metas 2016'!U30</f>
        <v>1.2612650357142858</v>
      </c>
      <c r="K24" s="194"/>
      <c r="L24" s="63">
        <f>+('Seguim Proy inversión 2016'!R31/(0.49*5))*0.1+('Seguim Proy inversión 2016'!R32/(300000*4))*0.2+'Seguim Proy inversión 2016'!R33/(280000*4)*0.25+('Seguim Proy inversión 2016'!R34/(2500*4))*0.25+(1/5)*0.2+I24</f>
        <v>1.2694070323129252</v>
      </c>
      <c r="N24" s="1">
        <v>2016</v>
      </c>
      <c r="O24" s="84">
        <f>+L31</f>
        <v>0.97612764118671236</v>
      </c>
    </row>
    <row r="25" spans="1:15" ht="14.25" customHeight="1">
      <c r="A25" s="7">
        <v>792</v>
      </c>
      <c r="B25" s="41">
        <f>+(8/8)*0.3+0*0.1+(2/2)*0.2+(0/0.2)*0.4</f>
        <v>0.5</v>
      </c>
      <c r="C25" s="69">
        <f>+(8/(8*4))*0.3+0*0.1+(2/(2*4))*0.2+(0/0.2)*0.4</f>
        <v>0.125</v>
      </c>
      <c r="D25" s="41">
        <f>+(8/8)*0.3+0*0.1+(2/2)*0.2+(0/0.2)*0.4</f>
        <v>0.5</v>
      </c>
      <c r="E25" s="59">
        <f>+(8/(8*4))*0.3+0*0.1+(2/(2*4))*0.2+(0)*0.4+C25</f>
        <v>0.25</v>
      </c>
      <c r="F25" s="41">
        <f>+(8/8)*0.3+0*0.1+(2/2)*0.2+(0.2)*0.4</f>
        <v>0.58000000000000007</v>
      </c>
      <c r="G25" s="67">
        <f>+(8/(8*4))*0.3+0*0.1+(2/(2*4))*0.2+(0.2)*0.4+E25</f>
        <v>0.45500000000000002</v>
      </c>
      <c r="H25" s="34">
        <f>+'Seguim Avance  % Metas 2015'!U35</f>
        <v>0.78</v>
      </c>
      <c r="I25" s="62">
        <f>+(8/(8*4))*0.3+(0.4*0.1)+(2/(2*4))*0.2+(0.1)*0.4+G25</f>
        <v>0.66</v>
      </c>
      <c r="J25" s="194">
        <f>+'Seguim Avance  % Metas 2016'!U35</f>
        <v>0.67600000000000005</v>
      </c>
      <c r="K25" s="194"/>
      <c r="L25" s="63">
        <f>+(0*0.1)+(0.04)*0.4+I25</f>
        <v>0.67600000000000005</v>
      </c>
      <c r="N25" s="64">
        <v>792</v>
      </c>
      <c r="O25" s="65">
        <v>0.67600000000000005</v>
      </c>
    </row>
    <row r="26" spans="1:15" ht="14.25" customHeight="1">
      <c r="A26" s="7">
        <v>787</v>
      </c>
      <c r="B26" s="41">
        <f>+(1/1)*1</f>
        <v>1</v>
      </c>
      <c r="C26" s="70">
        <f>+(1/4)*1</f>
        <v>0.25</v>
      </c>
      <c r="D26" s="41">
        <f>+(2/2)*1</f>
        <v>1</v>
      </c>
      <c r="E26" s="59">
        <f>+(2/4)*1</f>
        <v>0.5</v>
      </c>
      <c r="F26" s="41">
        <f>+(1/1)*1</f>
        <v>1</v>
      </c>
      <c r="G26" s="67">
        <f>+(3/4)*1</f>
        <v>0.75</v>
      </c>
      <c r="H26" s="34">
        <f>+'Seguim Avance  % Metas 2015'!U39</f>
        <v>1</v>
      </c>
      <c r="I26" s="62">
        <f>+(4/4)*1</f>
        <v>1</v>
      </c>
      <c r="J26" s="194">
        <v>0</v>
      </c>
      <c r="K26" s="194"/>
      <c r="L26" s="63">
        <f>+I26+J26</f>
        <v>1</v>
      </c>
      <c r="N26" s="64">
        <v>787</v>
      </c>
      <c r="O26" s="65">
        <v>1</v>
      </c>
    </row>
    <row r="27" spans="1:15" ht="14.25" customHeight="1">
      <c r="A27" s="7">
        <v>944</v>
      </c>
      <c r="B27" s="41">
        <f>+(6/6)*0.7+(0/1)*0.3</f>
        <v>0.70000000000000007</v>
      </c>
      <c r="C27" s="69">
        <f>+(6/(6*4))*0.7+(0/(1*4))*0.3</f>
        <v>0.17500000000000002</v>
      </c>
      <c r="D27" s="41">
        <f>+(6/6)*0.7+(1/1)*0.3</f>
        <v>1</v>
      </c>
      <c r="E27" s="59">
        <f>+(6/(6*4))*0.7+(1/(1*4))*0.3+C27</f>
        <v>0.42500000000000004</v>
      </c>
      <c r="F27" s="41">
        <f>+(6/6)*0.7+(1/1)*0.3</f>
        <v>1</v>
      </c>
      <c r="G27" s="67">
        <f>+(6/(6*4))*0.7+(1/(1*4))*0.3+E27</f>
        <v>0.67500000000000004</v>
      </c>
      <c r="H27" s="34">
        <f>+'Seguim Avance  % Metas 2015'!U40</f>
        <v>1</v>
      </c>
      <c r="I27" s="62">
        <f>+(6/(6*4))*0.7+(1/(1*4))*0.3+G27</f>
        <v>0.92500000000000004</v>
      </c>
      <c r="J27" s="194">
        <f>+'Seguim Avance  % Metas 2016'!U40</f>
        <v>1</v>
      </c>
      <c r="K27" s="194"/>
      <c r="L27" s="63">
        <f>+J27</f>
        <v>1</v>
      </c>
      <c r="N27" s="64">
        <v>944</v>
      </c>
      <c r="O27" s="65">
        <v>1</v>
      </c>
    </row>
    <row r="28" spans="1:15" ht="14.25" customHeight="1">
      <c r="A28" s="7">
        <v>784</v>
      </c>
      <c r="B28" s="41">
        <f>+(0/1)*0.3+(1/2)*0.1+(0.58/0.58)*0.6</f>
        <v>0.65000000000000013</v>
      </c>
      <c r="C28" s="69">
        <f>+(0/4)*0.3+(1/(2*4))*0.1+(0.58*0.6)</f>
        <v>0.36050000000000004</v>
      </c>
      <c r="D28" s="41">
        <f>+(1/1)*0.3+(1/2)*0.1+(0.54/0.7)*0.6</f>
        <v>0.81285714285714294</v>
      </c>
      <c r="E28" s="59">
        <f>+(4/4)*0.3+(1/(2))*0.1+(0.54)*0.6</f>
        <v>0.67400000000000015</v>
      </c>
      <c r="F28" s="41">
        <f>+(1/1)*0.3+(1/2)*0.1+(0.66/0.7)*0.6</f>
        <v>0.91571428571428592</v>
      </c>
      <c r="G28" s="67">
        <f>+(4/4)*0.3+(1/(2))*0.1+(0.66)*0.6</f>
        <v>0.74600000000000011</v>
      </c>
      <c r="H28" s="34">
        <f>+'Seguim Avance  % Metas 2015'!U43</f>
        <v>0.93500000000000005</v>
      </c>
      <c r="I28" s="62">
        <f>+(4/4)*0.3+(1/(2))*0.1+(0.714)*0.6</f>
        <v>0.77840000000000009</v>
      </c>
      <c r="J28" s="194">
        <f>+'Seguim Avance  % Metas 2016'!U43</f>
        <v>0.88600000000000012</v>
      </c>
      <c r="K28" s="194"/>
      <c r="L28" s="63">
        <f>+(4/4)*0.3+('Seguim Proy inversión 2016'!R44/(2))*0.1+('Seguim Proy inversión 2016'!R45)*0.6</f>
        <v>0.88600000000000012</v>
      </c>
      <c r="N28" s="64">
        <v>784</v>
      </c>
      <c r="O28" s="65">
        <v>0.88600000000000012</v>
      </c>
    </row>
    <row r="29" spans="1:15" ht="14.25" customHeight="1">
      <c r="A29" s="7">
        <v>794</v>
      </c>
      <c r="B29" s="41">
        <f>+(8332/1000000)*0.2+(1852/3000)*0.6+(0/1)*0.2</f>
        <v>0.37206640000000002</v>
      </c>
      <c r="C29" s="69">
        <f>+(8332/(1000000*4))*0.2+(1852/(3000*4))*0.6+(0/4)*0.2</f>
        <v>9.3016600000000005E-2</v>
      </c>
      <c r="D29" s="41">
        <f>+(615000/1000000)*0.2+(2855/3000)*0.6+(1/1)*0.2</f>
        <v>0.89400000000000013</v>
      </c>
      <c r="E29" s="59">
        <f>+(615000/(1000000*4))*0.2+(2855/(3000*4))*0.6+(1/4)*0.2+C29</f>
        <v>0.31651660000000004</v>
      </c>
      <c r="F29" s="41">
        <f>+(986126/1000000)*0.2+(3695/3000)*0.6+(1/1)*0.2</f>
        <v>1.1362252000000002</v>
      </c>
      <c r="G29" s="67">
        <f>+(986126/(1000000*4))*0.2+(3695/(3000*4))*0.6+(1/4)*0.2+E29</f>
        <v>0.60057290000000008</v>
      </c>
      <c r="H29" s="34">
        <f>+'Seguim Avance  % Metas 2015'!U46</f>
        <v>1.6901600000000001</v>
      </c>
      <c r="I29" s="62">
        <f>+(1352792/(1000000*4))*0.2+(5438/(3000*4))*0.6+(1/4)*0.2+G29</f>
        <v>0.99011250000000017</v>
      </c>
      <c r="J29" s="194">
        <f>+'Seguim Avance  % Metas 2016'!U46</f>
        <v>1.1723808000000002</v>
      </c>
      <c r="K29" s="194"/>
      <c r="L29" s="66">
        <f>+('Seguim Proy inversión 2016'!R46/(1000000*4))*0.2+('Seguim Proy inversión 2016'!R47/(3000*4))*0.6+(1/4)*0.2+I29</f>
        <v>1.1393726500000003</v>
      </c>
      <c r="N29" s="64">
        <v>794</v>
      </c>
      <c r="O29" s="65">
        <v>1.1393726500000003</v>
      </c>
    </row>
    <row r="30" spans="1:15" ht="28.5" customHeight="1">
      <c r="A30" s="7" t="s">
        <v>187</v>
      </c>
      <c r="B30" s="41">
        <f>+(B23+B24+B25+B26+B27+B28+B29)/7</f>
        <v>0.70761324914070911</v>
      </c>
      <c r="C30" s="69">
        <f>+(C23+C24+C25+C26+C27+C28+C29)/7</f>
        <v>0.18775752901049117</v>
      </c>
      <c r="D30" s="41">
        <f t="shared" ref="D30:I30" si="0">+(D20+D21+D22+D23+D24+D25+D26+D27+D28+D29)/10</f>
        <v>0.98395194076537495</v>
      </c>
      <c r="E30" s="59">
        <f t="shared" si="0"/>
        <v>0.37493537206934047</v>
      </c>
      <c r="F30" s="41">
        <f t="shared" si="0"/>
        <v>1.0230969571794872</v>
      </c>
      <c r="G30" s="67">
        <f t="shared" si="0"/>
        <v>0.61412612108272369</v>
      </c>
      <c r="H30" s="41">
        <f t="shared" si="0"/>
        <v>1.0802082209210853</v>
      </c>
      <c r="I30" s="71">
        <f t="shared" si="0"/>
        <v>0.9171255740743588</v>
      </c>
      <c r="J30" s="195">
        <f>+SUM(J20:J29)/10</f>
        <v>0.83718171097481253</v>
      </c>
      <c r="K30" s="195"/>
      <c r="L30" s="41">
        <f>+(L20+L21+L22+L23+L24+L25+L26+L27+L28+L29)/10</f>
        <v>0.97612764118671225</v>
      </c>
    </row>
    <row r="31" spans="1:15" ht="42.75" customHeight="1">
      <c r="A31" s="7" t="s">
        <v>181</v>
      </c>
      <c r="B31" s="7"/>
      <c r="C31" s="72">
        <f>+C30/0.2</f>
        <v>0.93878764505245582</v>
      </c>
      <c r="D31" s="7"/>
      <c r="E31" s="59">
        <f>+(E30*0.7/0.4)+(E30*0.3/0.25)</f>
        <v>1.1060593476045544</v>
      </c>
      <c r="F31" s="73"/>
      <c r="G31" s="74">
        <f>+(G30*0.7/0.6)+(G30*0.3/0.5)</f>
        <v>1.0849561472461453</v>
      </c>
      <c r="H31" s="46"/>
      <c r="I31" s="71">
        <f>+(I30*0.7/0.8)+(I30*0.3/0.75)</f>
        <v>1.1693351069448075</v>
      </c>
      <c r="J31" s="188"/>
      <c r="K31" s="188"/>
      <c r="L31" s="63">
        <f>+(L30*0.7/1)+(L30*0.3/1)</f>
        <v>0.97612764118671236</v>
      </c>
    </row>
    <row r="32" spans="1:15" s="15" customFormat="1" ht="12.75" customHeight="1">
      <c r="A32" s="13"/>
      <c r="B32" s="13"/>
      <c r="C32" s="13"/>
      <c r="D32" s="14">
        <v>0.8</v>
      </c>
      <c r="E32" s="14">
        <v>0.8</v>
      </c>
      <c r="F32" s="14">
        <v>0.8</v>
      </c>
      <c r="G32" s="14">
        <v>0.8</v>
      </c>
      <c r="H32" s="14">
        <v>0.8</v>
      </c>
      <c r="I32" s="14">
        <v>0.8</v>
      </c>
      <c r="J32" s="14">
        <v>0.8</v>
      </c>
      <c r="K32" s="14"/>
      <c r="L32" s="35"/>
    </row>
    <row r="33" spans="1:14" ht="30" customHeight="1">
      <c r="A33" s="174" t="s">
        <v>199</v>
      </c>
      <c r="B33" s="174"/>
      <c r="C33" s="174"/>
      <c r="D33" s="174"/>
      <c r="E33" s="174"/>
      <c r="F33" s="174"/>
      <c r="G33" s="174"/>
      <c r="H33" s="174"/>
      <c r="I33" s="174"/>
      <c r="J33" s="174"/>
      <c r="K33" s="174"/>
      <c r="L33" s="174"/>
    </row>
    <row r="34" spans="1:14" ht="73.150000000000006" customHeight="1">
      <c r="A34" s="20"/>
      <c r="B34" s="21"/>
      <c r="C34" s="21"/>
      <c r="D34" s="21"/>
      <c r="E34" s="21"/>
      <c r="F34" s="21"/>
      <c r="G34" s="21"/>
      <c r="H34" s="21"/>
      <c r="I34" s="21"/>
      <c r="J34" s="21"/>
      <c r="K34" s="21"/>
      <c r="L34" s="75"/>
    </row>
    <row r="35" spans="1:14" ht="68.650000000000006" customHeight="1">
      <c r="A35" s="20"/>
      <c r="B35" s="21"/>
      <c r="C35" s="21"/>
      <c r="D35" s="21"/>
      <c r="E35" s="21"/>
      <c r="F35" s="21"/>
      <c r="G35" s="21"/>
      <c r="H35" s="21"/>
      <c r="I35" s="21"/>
      <c r="J35" s="21"/>
      <c r="K35" s="21"/>
      <c r="L35" s="75"/>
    </row>
    <row r="36" spans="1:14" ht="67.150000000000006" customHeight="1">
      <c r="A36" s="20"/>
      <c r="B36" s="21"/>
      <c r="C36" s="21"/>
      <c r="D36" s="21"/>
      <c r="E36" s="21"/>
      <c r="F36" s="21"/>
      <c r="G36" s="21"/>
      <c r="H36" s="21"/>
      <c r="I36" s="21"/>
      <c r="J36" s="21"/>
      <c r="K36" s="21"/>
      <c r="L36" s="75"/>
    </row>
    <row r="37" spans="1:14" ht="63.4" customHeight="1">
      <c r="A37" s="24"/>
      <c r="B37" s="25"/>
      <c r="C37" s="25"/>
      <c r="D37" s="25"/>
      <c r="E37" s="25"/>
      <c r="F37" s="25"/>
      <c r="G37" s="25"/>
      <c r="H37" s="25"/>
      <c r="I37" s="25"/>
      <c r="J37" s="25"/>
      <c r="K37" s="25"/>
      <c r="L37" s="76"/>
    </row>
    <row r="38" spans="1:14" ht="38.85" customHeight="1">
      <c r="A38" s="174" t="s">
        <v>96</v>
      </c>
      <c r="B38" s="174"/>
      <c r="C38" s="174"/>
      <c r="D38" s="174"/>
      <c r="E38" s="174"/>
      <c r="F38" s="174"/>
      <c r="G38" s="174"/>
      <c r="H38" s="183" t="s">
        <v>97</v>
      </c>
      <c r="I38" s="183"/>
      <c r="J38" s="183"/>
      <c r="K38" s="183"/>
      <c r="L38" s="183"/>
    </row>
    <row r="39" spans="1:14" ht="47.25" customHeight="1">
      <c r="A39" s="185" t="s">
        <v>200</v>
      </c>
      <c r="B39" s="185"/>
      <c r="C39" s="185"/>
      <c r="D39" s="185"/>
      <c r="E39" s="185"/>
      <c r="F39" s="185"/>
      <c r="G39" s="185"/>
      <c r="H39" s="183" t="s">
        <v>98</v>
      </c>
      <c r="I39" s="183"/>
      <c r="J39" s="183"/>
      <c r="K39" s="183"/>
      <c r="L39" s="77"/>
    </row>
    <row r="40" spans="1:14" ht="47.25" customHeight="1">
      <c r="A40" s="185"/>
      <c r="B40" s="185"/>
      <c r="C40" s="185"/>
      <c r="D40" s="185"/>
      <c r="E40" s="185"/>
      <c r="F40" s="185"/>
      <c r="G40" s="185"/>
      <c r="H40" s="183" t="s">
        <v>99</v>
      </c>
      <c r="I40" s="183"/>
      <c r="J40" s="183"/>
      <c r="K40" s="183"/>
      <c r="L40" s="77"/>
      <c r="N40"/>
    </row>
    <row r="41" spans="1:14" ht="47.25" customHeight="1">
      <c r="A41" s="185"/>
      <c r="B41" s="185"/>
      <c r="C41" s="185"/>
      <c r="D41" s="185"/>
      <c r="E41" s="185"/>
      <c r="F41" s="185"/>
      <c r="G41" s="185"/>
      <c r="H41" s="183" t="s">
        <v>100</v>
      </c>
      <c r="I41" s="183"/>
      <c r="J41" s="183"/>
      <c r="K41" s="183"/>
      <c r="L41" s="77"/>
      <c r="N41"/>
    </row>
    <row r="42" spans="1:14" ht="47.25" customHeight="1">
      <c r="A42" s="185"/>
      <c r="B42" s="185"/>
      <c r="C42" s="185"/>
      <c r="D42" s="185"/>
      <c r="E42" s="185"/>
      <c r="F42" s="185"/>
      <c r="G42" s="185"/>
      <c r="H42" s="183" t="s">
        <v>102</v>
      </c>
      <c r="I42" s="183"/>
      <c r="J42" s="183"/>
      <c r="K42" s="183"/>
      <c r="L42" s="37" t="s">
        <v>101</v>
      </c>
      <c r="N42"/>
    </row>
    <row r="43" spans="1:14" ht="47.25" customHeight="1">
      <c r="A43" s="185"/>
      <c r="B43" s="185"/>
      <c r="C43" s="185"/>
      <c r="D43" s="185"/>
      <c r="E43" s="185"/>
      <c r="F43" s="185"/>
      <c r="G43" s="185"/>
      <c r="H43" s="183" t="s">
        <v>103</v>
      </c>
      <c r="I43" s="183"/>
      <c r="J43" s="183"/>
      <c r="K43" s="183"/>
      <c r="L43" s="77"/>
      <c r="N43"/>
    </row>
    <row r="44" spans="1:14" ht="47.25" customHeight="1">
      <c r="A44" s="185"/>
      <c r="B44" s="185"/>
      <c r="C44" s="185"/>
      <c r="D44" s="185"/>
      <c r="E44" s="185"/>
      <c r="F44" s="185"/>
      <c r="G44" s="185"/>
      <c r="H44" s="183" t="s">
        <v>105</v>
      </c>
      <c r="I44" s="183"/>
      <c r="J44" s="183"/>
      <c r="K44" s="183"/>
      <c r="L44" s="183"/>
    </row>
    <row r="45" spans="1:14" ht="47.25" customHeight="1">
      <c r="A45" s="185"/>
      <c r="B45" s="185"/>
      <c r="C45" s="185"/>
      <c r="D45" s="185"/>
      <c r="E45" s="185"/>
      <c r="F45" s="185"/>
      <c r="G45" s="185"/>
      <c r="H45" s="173" t="s">
        <v>49</v>
      </c>
      <c r="I45" s="173"/>
      <c r="J45" s="173"/>
      <c r="K45" s="173"/>
      <c r="L45" s="173"/>
    </row>
    <row r="46" spans="1:14" ht="47.25" customHeight="1">
      <c r="A46" s="185"/>
      <c r="B46" s="185"/>
      <c r="C46" s="185"/>
      <c r="D46" s="185"/>
      <c r="E46" s="185"/>
      <c r="F46" s="185"/>
      <c r="G46" s="185"/>
      <c r="H46" s="173" t="s">
        <v>51</v>
      </c>
      <c r="I46" s="173"/>
      <c r="J46" s="173"/>
      <c r="K46" s="173"/>
      <c r="L46" s="173"/>
    </row>
    <row r="47" spans="1:14" ht="47.25" customHeight="1">
      <c r="A47" s="185"/>
      <c r="B47" s="185"/>
      <c r="C47" s="185"/>
      <c r="D47" s="185"/>
      <c r="E47" s="185"/>
      <c r="F47" s="185"/>
      <c r="G47" s="185"/>
      <c r="H47" s="177" t="s">
        <v>106</v>
      </c>
      <c r="I47" s="177"/>
      <c r="J47" s="37">
        <v>31</v>
      </c>
      <c r="K47" s="37">
        <v>12</v>
      </c>
      <c r="L47" s="37">
        <v>2015</v>
      </c>
    </row>
    <row r="48" spans="1:14" ht="47.25" customHeight="1">
      <c r="A48" s="185"/>
      <c r="B48" s="185"/>
      <c r="C48" s="185"/>
      <c r="D48" s="185"/>
      <c r="E48" s="185"/>
      <c r="F48" s="185"/>
      <c r="G48" s="185"/>
      <c r="H48" s="177" t="s">
        <v>107</v>
      </c>
      <c r="I48" s="177"/>
      <c r="J48" s="37">
        <v>14</v>
      </c>
      <c r="K48" s="37">
        <v>6</v>
      </c>
      <c r="L48" s="37">
        <v>2016</v>
      </c>
    </row>
    <row r="49" spans="1:12" ht="20.25" customHeight="1">
      <c r="A49" s="185"/>
      <c r="B49" s="185"/>
      <c r="C49" s="185"/>
      <c r="D49" s="185"/>
      <c r="E49" s="185"/>
      <c r="F49" s="185"/>
      <c r="G49" s="185"/>
      <c r="H49" s="177" t="s">
        <v>108</v>
      </c>
      <c r="I49" s="177"/>
      <c r="J49" s="179" t="s">
        <v>201</v>
      </c>
      <c r="K49" s="179"/>
      <c r="L49" s="179"/>
    </row>
  </sheetData>
  <sheetProtection password="C6BA" sheet="1" formatCells="0" formatColumns="0" formatRows="0" insertColumns="0" insertRows="0" insertHyperlinks="0" deleteColumns="0" deleteRows="0" sort="0" autoFilter="0" pivotTables="0"/>
  <mergeCells count="67">
    <mergeCell ref="C1:H3"/>
    <mergeCell ref="I1:L2"/>
    <mergeCell ref="I3:L4"/>
    <mergeCell ref="C4:H6"/>
    <mergeCell ref="I5:L6"/>
    <mergeCell ref="A7:L7"/>
    <mergeCell ref="A8:L8"/>
    <mergeCell ref="A9:C9"/>
    <mergeCell ref="D9:F9"/>
    <mergeCell ref="G9:H9"/>
    <mergeCell ref="I9:L9"/>
    <mergeCell ref="A10:C10"/>
    <mergeCell ref="D10:F10"/>
    <mergeCell ref="G10:H10"/>
    <mergeCell ref="I10:L10"/>
    <mergeCell ref="A11:C11"/>
    <mergeCell ref="D11:F11"/>
    <mergeCell ref="G11:H11"/>
    <mergeCell ref="I11:L11"/>
    <mergeCell ref="A12:C12"/>
    <mergeCell ref="D12:F12"/>
    <mergeCell ref="G12:H12"/>
    <mergeCell ref="I12:L12"/>
    <mergeCell ref="A13:C13"/>
    <mergeCell ref="D13:F13"/>
    <mergeCell ref="G13:H13"/>
    <mergeCell ref="I13:L13"/>
    <mergeCell ref="A14:C14"/>
    <mergeCell ref="D14:F14"/>
    <mergeCell ref="G14:H14"/>
    <mergeCell ref="I14:L14"/>
    <mergeCell ref="A15:C16"/>
    <mergeCell ref="D15:F15"/>
    <mergeCell ref="G15:H16"/>
    <mergeCell ref="I15:L15"/>
    <mergeCell ref="D16:F16"/>
    <mergeCell ref="I16:L16"/>
    <mergeCell ref="A18:L18"/>
    <mergeCell ref="J19:K19"/>
    <mergeCell ref="J20:K20"/>
    <mergeCell ref="J21:K21"/>
    <mergeCell ref="J22:K22"/>
    <mergeCell ref="J23:K23"/>
    <mergeCell ref="J24:K24"/>
    <mergeCell ref="J25:K25"/>
    <mergeCell ref="J26:K26"/>
    <mergeCell ref="J27:K27"/>
    <mergeCell ref="J28:K28"/>
    <mergeCell ref="J29:K29"/>
    <mergeCell ref="J30:K30"/>
    <mergeCell ref="J31:K31"/>
    <mergeCell ref="A33:L33"/>
    <mergeCell ref="A38:G38"/>
    <mergeCell ref="H38:L38"/>
    <mergeCell ref="A39:G49"/>
    <mergeCell ref="H39:K39"/>
    <mergeCell ref="H40:K40"/>
    <mergeCell ref="H41:K41"/>
    <mergeCell ref="H42:K42"/>
    <mergeCell ref="H49:I49"/>
    <mergeCell ref="J49:L49"/>
    <mergeCell ref="H43:K43"/>
    <mergeCell ref="H44:L44"/>
    <mergeCell ref="H45:L45"/>
    <mergeCell ref="H46:L46"/>
    <mergeCell ref="H47:I47"/>
    <mergeCell ref="H48:I48"/>
  </mergeCells>
  <dataValidations count="3">
    <dataValidation type="list" operator="equal" allowBlank="1" showErrorMessage="1" sqref="I9">
      <formula1>"EFICACIA,EFICIENCIA,EFECTIVIDAD"</formula1>
      <formula2>0</formula2>
    </dataValidation>
    <dataValidation type="list" operator="equal" allowBlank="1" showErrorMessage="1" sqref="I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I12">
      <formula1>"MENSUAL,BIMENSUAL,TRIMESTRAL,SEMESTRAL,ANUAL"</formula1>
      <formula2>0</formula2>
    </dataValidation>
  </dataValidations>
  <printOptions horizontalCentered="1"/>
  <pageMargins left="0.19685039370078741" right="0.23622047244094491" top="0.78740157480314965" bottom="0.62992125984251968" header="0.51181102362204722" footer="0.51181102362204722"/>
  <pageSetup scale="60" firstPageNumber="0" pageOrder="overThenDown"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9" width="10.7109375" style="1" customWidth="1"/>
    <col min="20" max="20" width="2.7109375" style="1" customWidth="1"/>
    <col min="21"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row>
    <row r="7" spans="1:256" s="3" customFormat="1" ht="12.75" customHeight="1">
      <c r="A7" s="180"/>
      <c r="B7" s="180"/>
      <c r="C7" s="180"/>
      <c r="D7" s="180"/>
      <c r="E7" s="180"/>
      <c r="F7" s="180"/>
      <c r="G7" s="180"/>
      <c r="H7" s="180"/>
      <c r="I7" s="180"/>
      <c r="J7" s="180"/>
      <c r="K7" s="180"/>
      <c r="L7" s="180"/>
      <c r="M7" s="180"/>
      <c r="N7" s="180"/>
      <c r="O7" s="180"/>
      <c r="P7" s="180"/>
      <c r="Q7" s="180"/>
      <c r="R7" s="180"/>
      <c r="S7" s="180"/>
    </row>
    <row r="8" spans="1:256" ht="30" customHeight="1">
      <c r="A8" s="174" t="s">
        <v>2</v>
      </c>
      <c r="B8" s="174"/>
      <c r="C8" s="174"/>
      <c r="D8" s="174"/>
      <c r="E8" s="174"/>
      <c r="F8" s="174"/>
      <c r="G8" s="174"/>
      <c r="H8" s="174"/>
      <c r="I8" s="174"/>
      <c r="J8" s="174"/>
      <c r="K8" s="174"/>
      <c r="L8" s="174"/>
      <c r="M8" s="174"/>
      <c r="N8" s="174"/>
      <c r="O8" s="174"/>
      <c r="P8" s="174"/>
      <c r="Q8" s="174"/>
      <c r="R8" s="174"/>
      <c r="S8" s="174"/>
    </row>
    <row r="9" spans="1:256" ht="42" customHeight="1">
      <c r="A9" s="177" t="s">
        <v>3</v>
      </c>
      <c r="B9" s="177"/>
      <c r="C9" s="177"/>
      <c r="D9" s="177"/>
      <c r="E9" s="177"/>
      <c r="F9" s="177"/>
      <c r="G9" s="178" t="s">
        <v>202</v>
      </c>
      <c r="H9" s="178"/>
      <c r="I9" s="178"/>
      <c r="J9" s="178"/>
      <c r="K9" s="178"/>
      <c r="L9" s="178"/>
      <c r="M9" s="177" t="s">
        <v>5</v>
      </c>
      <c r="N9" s="177"/>
      <c r="O9" s="177"/>
      <c r="P9" s="186" t="s">
        <v>111</v>
      </c>
      <c r="Q9" s="186"/>
      <c r="R9" s="186"/>
      <c r="S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row>
    <row r="11" spans="1:256" ht="52.9" customHeight="1">
      <c r="A11" s="177" t="s">
        <v>11</v>
      </c>
      <c r="B11" s="177"/>
      <c r="C11" s="177"/>
      <c r="D11" s="177"/>
      <c r="E11" s="177"/>
      <c r="F11" s="177"/>
      <c r="G11" s="178" t="s">
        <v>112</v>
      </c>
      <c r="H11" s="178"/>
      <c r="I11" s="178"/>
      <c r="J11" s="178"/>
      <c r="K11" s="178"/>
      <c r="L11" s="178"/>
      <c r="M11" s="177" t="s">
        <v>32</v>
      </c>
      <c r="N11" s="177"/>
      <c r="O11" s="177"/>
      <c r="P11" s="186" t="s">
        <v>33</v>
      </c>
      <c r="Q11" s="186"/>
      <c r="R11" s="186"/>
      <c r="S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c r="P13" s="174"/>
      <c r="Q13" s="174"/>
      <c r="R13" s="174"/>
      <c r="S13" s="174"/>
    </row>
    <row r="14" spans="1:256" ht="30" customHeight="1">
      <c r="A14" s="4" t="s">
        <v>53</v>
      </c>
      <c r="B14" s="4" t="s">
        <v>114</v>
      </c>
      <c r="C14" s="6" t="s">
        <v>115</v>
      </c>
      <c r="D14" s="6" t="s">
        <v>203</v>
      </c>
      <c r="E14" s="6" t="s">
        <v>117</v>
      </c>
      <c r="F14" s="6" t="s">
        <v>55</v>
      </c>
      <c r="G14" s="4" t="s">
        <v>56</v>
      </c>
      <c r="H14" s="4" t="s">
        <v>57</v>
      </c>
      <c r="I14" s="4" t="s">
        <v>58</v>
      </c>
      <c r="J14" s="4" t="s">
        <v>59</v>
      </c>
      <c r="K14" s="4" t="s">
        <v>60</v>
      </c>
      <c r="L14" s="4" t="s">
        <v>61</v>
      </c>
      <c r="M14" s="4" t="s">
        <v>62</v>
      </c>
      <c r="N14" s="4" t="s">
        <v>63</v>
      </c>
      <c r="O14" s="4" t="s">
        <v>64</v>
      </c>
      <c r="P14" s="4" t="s">
        <v>65</v>
      </c>
      <c r="Q14" s="4" t="s">
        <v>66</v>
      </c>
      <c r="R14" s="4" t="s">
        <v>204</v>
      </c>
      <c r="S14" s="4" t="s">
        <v>205</v>
      </c>
    </row>
    <row r="15" spans="1:256" ht="15" customHeight="1">
      <c r="A15" s="173">
        <v>2015</v>
      </c>
      <c r="B15" s="173">
        <v>914</v>
      </c>
      <c r="C15" s="7" t="s">
        <v>121</v>
      </c>
      <c r="D15" s="79">
        <v>92000</v>
      </c>
      <c r="E15" s="39" t="s">
        <v>122</v>
      </c>
      <c r="F15" s="9">
        <f>+'Seguim Proy inversión 2015'!F15</f>
        <v>0</v>
      </c>
      <c r="G15" s="9">
        <f>+'Seguim Proy inversión 2015'!G15</f>
        <v>123</v>
      </c>
      <c r="H15" s="9">
        <f>+'Seguim Proy inversión 2015'!H15</f>
        <v>4294</v>
      </c>
      <c r="I15" s="9">
        <f>+'Seguim Proy inversión 2015'!I15</f>
        <v>8411</v>
      </c>
      <c r="J15" s="9">
        <f>+'Seguim Proy inversión 2015'!J15</f>
        <v>19864</v>
      </c>
      <c r="K15" s="9">
        <f>+'Seguim Proy inversión 2015'!K15</f>
        <v>24922</v>
      </c>
      <c r="L15" s="9">
        <f>+'Seguim Proy inversión 2015'!L15</f>
        <v>42470</v>
      </c>
      <c r="M15" s="9">
        <f>+'Seguim Proy inversión 2015'!M15</f>
        <v>50099</v>
      </c>
      <c r="N15" s="9">
        <f>+'Seguim Proy inversión 2015'!N15</f>
        <v>57286</v>
      </c>
      <c r="O15" s="9">
        <f>+'Seguim Proy inversión 2015'!O15</f>
        <v>66314</v>
      </c>
      <c r="P15" s="9">
        <f>+'Seguim Proy inversión 2015'!P15</f>
        <v>72718</v>
      </c>
      <c r="Q15" s="9">
        <f>+'Seguim Proy inversión 2015'!Q15</f>
        <v>80027</v>
      </c>
      <c r="R15" s="9">
        <f>MAX(F15,G15,H15,I15,J15,K15,L15,M15,N15,O15,P15,Q15)</f>
        <v>80027</v>
      </c>
      <c r="S15" s="34">
        <f t="shared" ref="S15:S35" si="0">+R15/D15</f>
        <v>0.86985869565217389</v>
      </c>
    </row>
    <row r="16" spans="1:256" ht="28.5" customHeight="1">
      <c r="A16" s="173"/>
      <c r="B16" s="173"/>
      <c r="C16" s="7" t="s">
        <v>123</v>
      </c>
      <c r="D16" s="79">
        <v>80</v>
      </c>
      <c r="E16" s="39" t="s">
        <v>124</v>
      </c>
      <c r="F16" s="9">
        <f>+'Seguim Proy inversión 2015'!F16</f>
        <v>0</v>
      </c>
      <c r="G16" s="9">
        <f>+'Seguim Proy inversión 2015'!G16</f>
        <v>0</v>
      </c>
      <c r="H16" s="9">
        <f>+'Seguim Proy inversión 2015'!H16</f>
        <v>2</v>
      </c>
      <c r="I16" s="9">
        <f>+'Seguim Proy inversión 2015'!I16</f>
        <v>1</v>
      </c>
      <c r="J16" s="9">
        <f>+'Seguim Proy inversión 2015'!J16</f>
        <v>0</v>
      </c>
      <c r="K16" s="9">
        <f>+'Seguim Proy inversión 2015'!K16</f>
        <v>0</v>
      </c>
      <c r="L16" s="9">
        <f>+'Seguim Proy inversión 2015'!L16</f>
        <v>5</v>
      </c>
      <c r="M16" s="9">
        <f>+'Seguim Proy inversión 2015'!M16</f>
        <v>8</v>
      </c>
      <c r="N16" s="9">
        <f>+'Seguim Proy inversión 2015'!N16</f>
        <v>50</v>
      </c>
      <c r="O16" s="9">
        <f>+'Seguim Proy inversión 2015'!O16</f>
        <v>66</v>
      </c>
      <c r="P16" s="9">
        <f>+'Seguim Proy inversión 2015'!P16</f>
        <v>85</v>
      </c>
      <c r="Q16" s="9">
        <f>+'Seguim Proy inversión 2015'!Q16</f>
        <v>85</v>
      </c>
      <c r="R16" s="9">
        <f>MAX(F16,G16,H16,I16,J16,K16,L16,M16,N16,O16,P16,Q16)</f>
        <v>85</v>
      </c>
      <c r="S16" s="34">
        <f t="shared" si="0"/>
        <v>1.0625</v>
      </c>
    </row>
    <row r="17" spans="1:19" ht="30" customHeight="1">
      <c r="A17" s="173"/>
      <c r="B17" s="173">
        <v>915</v>
      </c>
      <c r="C17" s="7" t="s">
        <v>125</v>
      </c>
      <c r="D17" s="79">
        <v>65216</v>
      </c>
      <c r="E17" s="39" t="s">
        <v>126</v>
      </c>
      <c r="F17" s="9">
        <f>+'Seguim Proy inversión 2015'!F17</f>
        <v>0</v>
      </c>
      <c r="G17" s="9">
        <f>+'Seguim Proy inversión 2015'!G17</f>
        <v>11726</v>
      </c>
      <c r="H17" s="9">
        <f>+'Seguim Proy inversión 2015'!H17</f>
        <v>24602</v>
      </c>
      <c r="I17" s="9">
        <f>+'Seguim Proy inversión 2015'!I17</f>
        <v>28125</v>
      </c>
      <c r="J17" s="9">
        <f>+'Seguim Proy inversión 2015'!J17</f>
        <v>30414</v>
      </c>
      <c r="K17" s="9">
        <f>+'Seguim Proy inversión 2015'!K17</f>
        <v>32251</v>
      </c>
      <c r="L17" s="9">
        <f>+'Seguim Proy inversión 2015'!L17</f>
        <v>40090</v>
      </c>
      <c r="M17" s="9">
        <f>+'Seguim Proy inversión 2015'!M17</f>
        <v>43834</v>
      </c>
      <c r="N17" s="9">
        <f>+'Seguim Proy inversión 2015'!N17</f>
        <v>51190</v>
      </c>
      <c r="O17" s="9">
        <f>+'Seguim Proy inversión 2015'!O17</f>
        <v>54619</v>
      </c>
      <c r="P17" s="9">
        <f>+'Seguim Proy inversión 2015'!P17</f>
        <v>58960</v>
      </c>
      <c r="Q17" s="9">
        <f>+'Seguim Proy inversión 2015'!Q17</f>
        <v>58960</v>
      </c>
      <c r="R17" s="9">
        <f>MAX(F17,G17,H17,I17,J17,K17,L17,M17,N17,O17,P17,Q17)</f>
        <v>58960</v>
      </c>
      <c r="S17" s="34">
        <f t="shared" si="0"/>
        <v>0.90407262021589796</v>
      </c>
    </row>
    <row r="18" spans="1:19" ht="30" customHeight="1">
      <c r="A18" s="173"/>
      <c r="B18" s="173"/>
      <c r="C18" s="7" t="s">
        <v>127</v>
      </c>
      <c r="D18" s="79">
        <v>150</v>
      </c>
      <c r="E18" s="39" t="s">
        <v>128</v>
      </c>
      <c r="F18" s="9">
        <f>+'Seguim Proy inversión 2015'!F18</f>
        <v>0</v>
      </c>
      <c r="G18" s="9">
        <f>+'Seguim Proy inversión 2015'!G18</f>
        <v>0</v>
      </c>
      <c r="H18" s="9">
        <f>+'Seguim Proy inversión 2015'!H18</f>
        <v>14</v>
      </c>
      <c r="I18" s="9">
        <f>+'Seguim Proy inversión 2015'!I18</f>
        <v>26</v>
      </c>
      <c r="J18" s="9">
        <f>+'Seguim Proy inversión 2015'!J18</f>
        <v>30</v>
      </c>
      <c r="K18" s="9">
        <f>+'Seguim Proy inversión 2015'!K18</f>
        <v>36</v>
      </c>
      <c r="L18" s="9">
        <f>+'Seguim Proy inversión 2015'!L18</f>
        <v>38</v>
      </c>
      <c r="M18" s="9">
        <f>+'Seguim Proy inversión 2015'!M18</f>
        <v>40</v>
      </c>
      <c r="N18" s="9">
        <f>+'Seguim Proy inversión 2015'!N18</f>
        <v>42</v>
      </c>
      <c r="O18" s="9">
        <f>+'Seguim Proy inversión 2015'!O18</f>
        <v>42</v>
      </c>
      <c r="P18" s="9">
        <f>+'Seguim Proy inversión 2015'!P18</f>
        <v>42</v>
      </c>
      <c r="Q18" s="9">
        <f>+'Seguim Proy inversión 2015'!Q18</f>
        <v>42</v>
      </c>
      <c r="R18" s="9">
        <f>MAX(F18,G18,H18,I18,J18,K18,L18,M18,N18,O18,P18,Q18)</f>
        <v>42</v>
      </c>
      <c r="S18" s="34">
        <f t="shared" si="0"/>
        <v>0.28000000000000003</v>
      </c>
    </row>
    <row r="19" spans="1:19" ht="15" customHeight="1">
      <c r="A19" s="173"/>
      <c r="B19" s="173">
        <v>772</v>
      </c>
      <c r="C19" s="7" t="s">
        <v>129</v>
      </c>
      <c r="D19" s="79">
        <v>6</v>
      </c>
      <c r="E19" s="39" t="s">
        <v>130</v>
      </c>
      <c r="F19" s="9">
        <f>+'Seguim Proy inversión 2015'!F19</f>
        <v>0</v>
      </c>
      <c r="G19" s="9">
        <f>+'Seguim Proy inversión 2015'!G19</f>
        <v>0</v>
      </c>
      <c r="H19" s="9">
        <f>+'Seguim Proy inversión 2015'!H19</f>
        <v>2</v>
      </c>
      <c r="I19" s="9">
        <f>+'Seguim Proy inversión 2015'!I19</f>
        <v>0</v>
      </c>
      <c r="J19" s="9">
        <f>+'Seguim Proy inversión 2015'!J19</f>
        <v>2</v>
      </c>
      <c r="K19" s="9">
        <f>+'Seguim Proy inversión 2015'!K19</f>
        <v>2</v>
      </c>
      <c r="L19" s="9">
        <f>+'Seguim Proy inversión 2015'!L19</f>
        <v>3</v>
      </c>
      <c r="M19" s="9">
        <f>+'Seguim Proy inversión 2015'!M19</f>
        <v>5</v>
      </c>
      <c r="N19" s="9">
        <f>+'Seguim Proy inversión 2015'!N19</f>
        <v>4</v>
      </c>
      <c r="O19" s="9">
        <f>+'Seguim Proy inversión 2015'!O19</f>
        <v>0</v>
      </c>
      <c r="P19" s="9">
        <f>+'Seguim Proy inversión 2015'!P19</f>
        <v>0</v>
      </c>
      <c r="Q19" s="9">
        <f>+'Seguim Proy inversión 2015'!Q19</f>
        <v>0</v>
      </c>
      <c r="R19" s="9">
        <f>MAX(F19,G19,H19,I19,J19,K19,L19,M19,N19,O19,P19,Q19)</f>
        <v>5</v>
      </c>
      <c r="S19" s="34">
        <f t="shared" si="0"/>
        <v>0.83333333333333337</v>
      </c>
    </row>
    <row r="20" spans="1:19" ht="30" customHeight="1">
      <c r="A20" s="173"/>
      <c r="B20" s="173"/>
      <c r="C20" s="7" t="s">
        <v>131</v>
      </c>
      <c r="D20" s="79">
        <v>100</v>
      </c>
      <c r="E20" s="39" t="s">
        <v>132</v>
      </c>
      <c r="F20" s="9">
        <f>+'Seguim Proy inversión 2015'!F20</f>
        <v>1</v>
      </c>
      <c r="G20" s="9">
        <f>+'Seguim Proy inversión 2015'!G20</f>
        <v>1</v>
      </c>
      <c r="H20" s="9">
        <f>+'Seguim Proy inversión 2015'!H20</f>
        <v>1</v>
      </c>
      <c r="I20" s="9">
        <f>+'Seguim Proy inversión 2015'!I20</f>
        <v>1</v>
      </c>
      <c r="J20" s="9">
        <f>+'Seguim Proy inversión 2015'!J20</f>
        <v>6</v>
      </c>
      <c r="K20" s="9">
        <f>+'Seguim Proy inversión 2015'!K20</f>
        <v>3</v>
      </c>
      <c r="L20" s="9">
        <f>+'Seguim Proy inversión 2015'!L20</f>
        <v>11</v>
      </c>
      <c r="M20" s="9">
        <f>+'Seguim Proy inversión 2015'!M20</f>
        <v>7</v>
      </c>
      <c r="N20" s="9">
        <f>+'Seguim Proy inversión 2015'!N20</f>
        <v>6</v>
      </c>
      <c r="O20" s="9">
        <f>+'Seguim Proy inversión 2015'!O20</f>
        <v>8</v>
      </c>
      <c r="P20" s="9">
        <f>+'Seguim Proy inversión 2015'!P20</f>
        <v>9</v>
      </c>
      <c r="Q20" s="9">
        <f>+'Seguim Proy inversión 2015'!Q20</f>
        <v>2</v>
      </c>
      <c r="R20" s="9">
        <f>+SUM(F20,G20,H20,I20,J20,K20,L20,M20,N20,O20,P20,Q20)</f>
        <v>56</v>
      </c>
      <c r="S20" s="34">
        <f t="shared" si="0"/>
        <v>0.56000000000000005</v>
      </c>
    </row>
    <row r="21" spans="1:19" ht="15" customHeight="1">
      <c r="A21" s="173"/>
      <c r="B21" s="173"/>
      <c r="C21" s="7" t="s">
        <v>131</v>
      </c>
      <c r="D21" s="79">
        <v>5</v>
      </c>
      <c r="E21" s="39" t="s">
        <v>133</v>
      </c>
      <c r="F21" s="9">
        <f>+'Seguim Proy inversión 2015'!F21</f>
        <v>0</v>
      </c>
      <c r="G21" s="9">
        <f>+'Seguim Proy inversión 2015'!G21</f>
        <v>0</v>
      </c>
      <c r="H21" s="9">
        <f>+'Seguim Proy inversión 2015'!H21</f>
        <v>0</v>
      </c>
      <c r="I21" s="9">
        <f>+'Seguim Proy inversión 2015'!I21</f>
        <v>0</v>
      </c>
      <c r="J21" s="9">
        <f>+'Seguim Proy inversión 2015'!J21</f>
        <v>0</v>
      </c>
      <c r="K21" s="9">
        <f>+'Seguim Proy inversión 2015'!K21</f>
        <v>0</v>
      </c>
      <c r="L21" s="9">
        <f>+'Seguim Proy inversión 2015'!L21</f>
        <v>0</v>
      </c>
      <c r="M21" s="9">
        <f>+'Seguim Proy inversión 2015'!M21</f>
        <v>0</v>
      </c>
      <c r="N21" s="9">
        <f>+'Seguim Proy inversión 2015'!N21</f>
        <v>0</v>
      </c>
      <c r="O21" s="9">
        <f>+'Seguim Proy inversión 2015'!O21</f>
        <v>2</v>
      </c>
      <c r="P21" s="9">
        <f>+'Seguim Proy inversión 2015'!P21</f>
        <v>0</v>
      </c>
      <c r="Q21" s="9">
        <f>+'Seguim Proy inversión 2015'!Q21</f>
        <v>0</v>
      </c>
      <c r="R21" s="9">
        <f>MAX(F21,G21,H21,I21,J21,K21,L21,M21,N21,O21,P21,Q21)</f>
        <v>2</v>
      </c>
      <c r="S21" s="34">
        <f t="shared" si="0"/>
        <v>0.4</v>
      </c>
    </row>
    <row r="22" spans="1:19" ht="15" customHeight="1">
      <c r="A22" s="173"/>
      <c r="B22" s="173">
        <v>795</v>
      </c>
      <c r="C22" s="7" t="s">
        <v>134</v>
      </c>
      <c r="D22" s="80">
        <v>1140000</v>
      </c>
      <c r="E22" s="39" t="s">
        <v>135</v>
      </c>
      <c r="F22" s="9">
        <f>+'Seguim Proy inversión 2015'!F22</f>
        <v>16507</v>
      </c>
      <c r="G22" s="9">
        <f>+'Seguim Proy inversión 2015'!G22</f>
        <v>6101</v>
      </c>
      <c r="H22" s="9">
        <f>+'Seguim Proy inversión 2015'!H22</f>
        <v>8777</v>
      </c>
      <c r="I22" s="9">
        <f>+'Seguim Proy inversión 2015'!I22</f>
        <v>304690</v>
      </c>
      <c r="J22" s="9">
        <f>+'Seguim Proy inversión 2015'!J22</f>
        <v>228502</v>
      </c>
      <c r="K22" s="9">
        <f>+'Seguim Proy inversión 2015'!K22</f>
        <v>99075</v>
      </c>
      <c r="L22" s="9">
        <f>+'Seguim Proy inversión 2015'!L22</f>
        <v>81712</v>
      </c>
      <c r="M22" s="9">
        <f>+'Seguim Proy inversión 2015'!M22</f>
        <v>352121</v>
      </c>
      <c r="N22" s="9">
        <f>+'Seguim Proy inversión 2015'!N22</f>
        <v>182665</v>
      </c>
      <c r="O22" s="9">
        <f>+'Seguim Proy inversión 2015'!O22</f>
        <v>143972</v>
      </c>
      <c r="P22" s="9">
        <f>+'Seguim Proy inversión 2015'!P22</f>
        <v>203739</v>
      </c>
      <c r="Q22" s="9">
        <f>+'Seguim Proy inversión 2015'!Q22</f>
        <v>110540</v>
      </c>
      <c r="R22" s="9">
        <f>+SUM(F22,G22,H22,I22,J22,K22,L22,M22,N22,O22,P22,Q22)</f>
        <v>1738401</v>
      </c>
      <c r="S22" s="34">
        <f t="shared" si="0"/>
        <v>1.5249131578947368</v>
      </c>
    </row>
    <row r="23" spans="1:19" ht="12.75" customHeight="1">
      <c r="A23" s="173"/>
      <c r="B23" s="173"/>
      <c r="C23" s="7" t="s">
        <v>131</v>
      </c>
      <c r="D23" s="80">
        <v>2486</v>
      </c>
      <c r="E23" s="39" t="s">
        <v>140</v>
      </c>
      <c r="F23" s="9">
        <f>+'Seguim Proy inversión 2015'!F25</f>
        <v>0</v>
      </c>
      <c r="G23" s="9">
        <f>+'Seguim Proy inversión 2015'!G25</f>
        <v>0</v>
      </c>
      <c r="H23" s="9">
        <f>+'Seguim Proy inversión 2015'!H25</f>
        <v>6</v>
      </c>
      <c r="I23" s="9">
        <f>+'Seguim Proy inversión 2015'!I25</f>
        <v>67</v>
      </c>
      <c r="J23" s="9">
        <f>+'Seguim Proy inversión 2015'!J25</f>
        <v>72</v>
      </c>
      <c r="K23" s="9">
        <f>+'Seguim Proy inversión 2015'!K25</f>
        <v>168</v>
      </c>
      <c r="L23" s="9">
        <f>+'Seguim Proy inversión 2015'!L25</f>
        <v>241</v>
      </c>
      <c r="M23" s="9">
        <f>+'Seguim Proy inversión 2015'!M25</f>
        <v>78</v>
      </c>
      <c r="N23" s="9">
        <f>+'Seguim Proy inversión 2015'!N25</f>
        <v>87</v>
      </c>
      <c r="O23" s="9">
        <f>+'Seguim Proy inversión 2015'!O25</f>
        <v>30</v>
      </c>
      <c r="P23" s="9">
        <f>+'Seguim Proy inversión 2015'!P25</f>
        <v>2</v>
      </c>
      <c r="Q23" s="9">
        <f>+'Seguim Proy inversión 2015'!Q25</f>
        <v>30</v>
      </c>
      <c r="R23" s="9">
        <f>+SUM(F23,G23,H23,I23,J23,K23,L23,M23,N23,O23,P23,Q23)</f>
        <v>781</v>
      </c>
      <c r="S23" s="34">
        <f t="shared" si="0"/>
        <v>0.31415929203539822</v>
      </c>
    </row>
    <row r="24" spans="1:19" ht="12.75" customHeight="1">
      <c r="A24" s="173"/>
      <c r="B24" s="173"/>
      <c r="C24" s="7" t="s">
        <v>206</v>
      </c>
      <c r="D24" s="81">
        <v>0.2</v>
      </c>
      <c r="E24" s="39" t="s">
        <v>207</v>
      </c>
      <c r="F24" s="34">
        <f>+'Seguim Proy inversión 2015'!F26</f>
        <v>0</v>
      </c>
      <c r="G24" s="34">
        <f>+'Seguim Proy inversión 2015'!G26</f>
        <v>0</v>
      </c>
      <c r="H24" s="34">
        <f>+'Seguim Proy inversión 2015'!H26</f>
        <v>0</v>
      </c>
      <c r="I24" s="34">
        <f>+'Seguim Proy inversión 2015'!I26</f>
        <v>0</v>
      </c>
      <c r="J24" s="34">
        <f>+'Seguim Proy inversión 2015'!J26</f>
        <v>0</v>
      </c>
      <c r="K24" s="34">
        <f>+'Seguim Proy inversión 2015'!K26</f>
        <v>0.2</v>
      </c>
      <c r="L24" s="34">
        <f>+'Seguim Proy inversión 2015'!L26</f>
        <v>0.2</v>
      </c>
      <c r="M24" s="34">
        <f>+'Seguim Proy inversión 2015'!M26</f>
        <v>0.2</v>
      </c>
      <c r="N24" s="34">
        <f>+'Seguim Proy inversión 2015'!N26</f>
        <v>0.2</v>
      </c>
      <c r="O24" s="34">
        <f>+'Seguim Proy inversión 2015'!O26</f>
        <v>0.2</v>
      </c>
      <c r="P24" s="34">
        <f>+'Seguim Proy inversión 2015'!P26</f>
        <v>0.2</v>
      </c>
      <c r="Q24" s="34">
        <f>+'Seguim Proy inversión 2015'!Q26</f>
        <v>0.2</v>
      </c>
      <c r="R24" s="9">
        <f>MAX(F24,G24,H24,I24,J24,K24,L24,M24,N24,O24,P24,Q24)</f>
        <v>0.2</v>
      </c>
      <c r="S24" s="34">
        <f t="shared" si="0"/>
        <v>1</v>
      </c>
    </row>
    <row r="25" spans="1:19" ht="12.75" customHeight="1">
      <c r="A25" s="173"/>
      <c r="B25" s="173"/>
      <c r="C25" s="43" t="s">
        <v>143</v>
      </c>
      <c r="D25" s="80">
        <v>303000</v>
      </c>
      <c r="E25" s="39" t="s">
        <v>137</v>
      </c>
      <c r="F25" s="9">
        <f>+'Seguim Proy inversión 2015'!F27</f>
        <v>0</v>
      </c>
      <c r="G25" s="9">
        <f>+'Seguim Proy inversión 2015'!G27</f>
        <v>603</v>
      </c>
      <c r="H25" s="9">
        <f>+'Seguim Proy inversión 2015'!H27</f>
        <v>515</v>
      </c>
      <c r="I25" s="9">
        <f>+'Seguim Proy inversión 2015'!I27</f>
        <v>275</v>
      </c>
      <c r="J25" s="9">
        <f>+'Seguim Proy inversión 2015'!J27</f>
        <v>49857</v>
      </c>
      <c r="K25" s="9">
        <f>+'Seguim Proy inversión 2015'!K27</f>
        <v>3501</v>
      </c>
      <c r="L25" s="9">
        <f>+'Seguim Proy inversión 2015'!L27</f>
        <v>1308</v>
      </c>
      <c r="M25" s="9">
        <f>+'Seguim Proy inversión 2015'!M27</f>
        <v>5676</v>
      </c>
      <c r="N25" s="9">
        <f>+'Seguim Proy inversión 2015'!N27</f>
        <v>16131</v>
      </c>
      <c r="O25" s="9">
        <f>+'Seguim Proy inversión 2015'!O27</f>
        <v>4581</v>
      </c>
      <c r="P25" s="9">
        <f>+'Seguim Proy inversión 2015'!P27</f>
        <v>6689</v>
      </c>
      <c r="Q25" s="9">
        <f>+'Seguim Proy inversión 2015'!Q27</f>
        <v>11171</v>
      </c>
      <c r="R25" s="9">
        <f>+SUM(F25,G25,H25,I25,J25,K25,L25,M25,N25,O25,P25,Q25)</f>
        <v>100307</v>
      </c>
      <c r="S25" s="34">
        <f t="shared" si="0"/>
        <v>0.33104620462046203</v>
      </c>
    </row>
    <row r="26" spans="1:19" ht="12.75" customHeight="1">
      <c r="A26" s="173"/>
      <c r="B26" s="173"/>
      <c r="C26" s="43" t="s">
        <v>144</v>
      </c>
      <c r="D26" s="80">
        <v>50</v>
      </c>
      <c r="E26" s="39" t="s">
        <v>145</v>
      </c>
      <c r="F26" s="9">
        <f>+'Seguim Proy inversión 2015'!F28</f>
        <v>0</v>
      </c>
      <c r="G26" s="9">
        <f>+'Seguim Proy inversión 2015'!G28</f>
        <v>0</v>
      </c>
      <c r="H26" s="9">
        <f>+'Seguim Proy inversión 2015'!H28</f>
        <v>0</v>
      </c>
      <c r="I26" s="9">
        <f>+'Seguim Proy inversión 2015'!I28</f>
        <v>0</v>
      </c>
      <c r="J26" s="9">
        <f>+'Seguim Proy inversión 2015'!J28</f>
        <v>0</v>
      </c>
      <c r="K26" s="9">
        <f>+'Seguim Proy inversión 2015'!K28</f>
        <v>0</v>
      </c>
      <c r="L26" s="9">
        <f>+'Seguim Proy inversión 2015'!L28</f>
        <v>10</v>
      </c>
      <c r="M26" s="9">
        <f>+'Seguim Proy inversión 2015'!M28</f>
        <v>0</v>
      </c>
      <c r="N26" s="9">
        <f>+'Seguim Proy inversión 2015'!N28</f>
        <v>0</v>
      </c>
      <c r="O26" s="9">
        <f>+'Seguim Proy inversión 2015'!O28</f>
        <v>0</v>
      </c>
      <c r="P26" s="9">
        <f>+'Seguim Proy inversión 2015'!P28</f>
        <v>0</v>
      </c>
      <c r="Q26" s="9">
        <f>+'Seguim Proy inversión 2015'!Q28</f>
        <v>0</v>
      </c>
      <c r="R26" s="9">
        <f>+SUM(F26,G26,H26,I26,J26,K26,L26,M26,N26,O26,P26,Q26)</f>
        <v>10</v>
      </c>
      <c r="S26" s="34">
        <f t="shared" si="0"/>
        <v>0.2</v>
      </c>
    </row>
    <row r="27" spans="1:19" ht="12.75" customHeight="1">
      <c r="A27" s="173"/>
      <c r="B27" s="173"/>
      <c r="C27" s="43" t="s">
        <v>185</v>
      </c>
      <c r="D27" s="80">
        <v>7</v>
      </c>
      <c r="E27" s="39" t="s">
        <v>147</v>
      </c>
      <c r="F27" s="9">
        <f>+'Seguim Proy inversión 2015'!F29</f>
        <v>0</v>
      </c>
      <c r="G27" s="9">
        <f>+'Seguim Proy inversión 2015'!G29</f>
        <v>0</v>
      </c>
      <c r="H27" s="9">
        <f>+'Seguim Proy inversión 2015'!H29</f>
        <v>3</v>
      </c>
      <c r="I27" s="9">
        <f>+'Seguim Proy inversión 2015'!I29</f>
        <v>3</v>
      </c>
      <c r="J27" s="9">
        <f>+'Seguim Proy inversión 2015'!J29</f>
        <v>4</v>
      </c>
      <c r="K27" s="9">
        <f>+'Seguim Proy inversión 2015'!K29</f>
        <v>5</v>
      </c>
      <c r="L27" s="9">
        <f>+'Seguim Proy inversión 2015'!L29</f>
        <v>5</v>
      </c>
      <c r="M27" s="9">
        <f>+'Seguim Proy inversión 2015'!M29</f>
        <v>5</v>
      </c>
      <c r="N27" s="9">
        <f>+'Seguim Proy inversión 2015'!N29</f>
        <v>0</v>
      </c>
      <c r="O27" s="9">
        <f>+'Seguim Proy inversión 2015'!O29</f>
        <v>0</v>
      </c>
      <c r="P27" s="9">
        <f>+'Seguim Proy inversión 2015'!P29</f>
        <v>0</v>
      </c>
      <c r="Q27" s="9">
        <f>+'Seguim Proy inversión 2015'!Q29</f>
        <v>5</v>
      </c>
      <c r="R27" s="9">
        <f>MAX(F27,G27,H27,I27,J27,K27,L27,M27,N27,O27,P27,Q27)</f>
        <v>5</v>
      </c>
      <c r="S27" s="34">
        <f t="shared" si="0"/>
        <v>0.7142857142857143</v>
      </c>
    </row>
    <row r="28" spans="1:19" ht="12.75" customHeight="1">
      <c r="A28" s="173"/>
      <c r="B28" s="173">
        <v>783</v>
      </c>
      <c r="C28" s="7" t="s">
        <v>150</v>
      </c>
      <c r="D28" s="81">
        <v>0.499</v>
      </c>
      <c r="E28" s="39" t="s">
        <v>151</v>
      </c>
      <c r="F28" s="34">
        <f>+'Seguim Proy inversión 2015'!F31</f>
        <v>0</v>
      </c>
      <c r="G28" s="34">
        <f>+'Seguim Proy inversión 2015'!G31</f>
        <v>0</v>
      </c>
      <c r="H28" s="34">
        <f>+'Seguim Proy inversión 2015'!H31</f>
        <v>0.316</v>
      </c>
      <c r="I28" s="34">
        <f>+'Seguim Proy inversión 2015'!I31</f>
        <v>0.3271</v>
      </c>
      <c r="J28" s="34">
        <f>+'Seguim Proy inversión 2015'!J31</f>
        <v>0.3372</v>
      </c>
      <c r="K28" s="34">
        <f>+'Seguim Proy inversión 2015'!K31</f>
        <v>0.3407</v>
      </c>
      <c r="L28" s="34">
        <f>+'Seguim Proy inversión 2015'!L31</f>
        <v>0.3402</v>
      </c>
      <c r="M28" s="34">
        <f>+'Seguim Proy inversión 2015'!M31</f>
        <v>0.3478</v>
      </c>
      <c r="N28" s="34">
        <f>+'Seguim Proy inversión 2015'!N31</f>
        <v>0.35</v>
      </c>
      <c r="O28" s="34">
        <f>+'Seguim Proy inversión 2015'!O31</f>
        <v>0.37</v>
      </c>
      <c r="P28" s="34">
        <f>+'Seguim Proy inversión 2015'!P31</f>
        <v>0.37</v>
      </c>
      <c r="Q28" s="34">
        <f>+'Seguim Proy inversión 2015'!Q31</f>
        <v>0.375</v>
      </c>
      <c r="R28" s="9">
        <f>MAX(F28,G28,H28,I28,J28,K28,L28,M28,N28,O28,P28,Q28)</f>
        <v>0.375</v>
      </c>
      <c r="S28" s="34">
        <f t="shared" si="0"/>
        <v>0.75150300601202402</v>
      </c>
    </row>
    <row r="29" spans="1:19" ht="12.75" customHeight="1">
      <c r="A29" s="173"/>
      <c r="B29" s="173"/>
      <c r="C29" s="43" t="s">
        <v>152</v>
      </c>
      <c r="D29" s="80">
        <v>300000</v>
      </c>
      <c r="E29" s="39" t="s">
        <v>137</v>
      </c>
      <c r="F29" s="9">
        <f>+'Seguim Proy inversión 2015'!F32</f>
        <v>29366</v>
      </c>
      <c r="G29" s="9">
        <f>+'Seguim Proy inversión 2015'!G32</f>
        <v>19875</v>
      </c>
      <c r="H29" s="9">
        <f>+'Seguim Proy inversión 2015'!H32</f>
        <v>36068</v>
      </c>
      <c r="I29" s="9">
        <f>+'Seguim Proy inversión 2015'!I32</f>
        <v>32406</v>
      </c>
      <c r="J29" s="9">
        <f>+'Seguim Proy inversión 2015'!J32</f>
        <v>29763</v>
      </c>
      <c r="K29" s="9">
        <f>+'Seguim Proy inversión 2015'!K32</f>
        <v>41984</v>
      </c>
      <c r="L29" s="9">
        <f>+'Seguim Proy inversión 2015'!L32</f>
        <v>43561</v>
      </c>
      <c r="M29" s="9">
        <f>+'Seguim Proy inversión 2015'!M32</f>
        <v>43574</v>
      </c>
      <c r="N29" s="9">
        <f>+'Seguim Proy inversión 2015'!N32</f>
        <v>33375</v>
      </c>
      <c r="O29" s="9">
        <f>+'Seguim Proy inversión 2015'!O32</f>
        <v>50811</v>
      </c>
      <c r="P29" s="9">
        <f>+'Seguim Proy inversión 2015'!P32</f>
        <v>28019</v>
      </c>
      <c r="Q29" s="9">
        <f>+'Seguim Proy inversión 2015'!Q32</f>
        <v>28949</v>
      </c>
      <c r="R29" s="9">
        <f>+SUM(F29,G29,H29,I29,J29,K29,L29,M29,N29,O29,P29,Q29)</f>
        <v>417751</v>
      </c>
      <c r="S29" s="34">
        <f t="shared" si="0"/>
        <v>1.3925033333333334</v>
      </c>
    </row>
    <row r="30" spans="1:19" ht="12.75" customHeight="1">
      <c r="A30" s="173"/>
      <c r="B30" s="173"/>
      <c r="C30" s="43" t="s">
        <v>186</v>
      </c>
      <c r="D30" s="80">
        <v>280000</v>
      </c>
      <c r="E30" s="39" t="s">
        <v>137</v>
      </c>
      <c r="F30" s="9">
        <f>+'Seguim Proy inversión 2015'!F33</f>
        <v>5811</v>
      </c>
      <c r="G30" s="9">
        <f>+'Seguim Proy inversión 2015'!G33</f>
        <v>15196</v>
      </c>
      <c r="H30" s="9">
        <f>+'Seguim Proy inversión 2015'!H33</f>
        <v>18669</v>
      </c>
      <c r="I30" s="9">
        <f>+'Seguim Proy inversión 2015'!I33</f>
        <v>85315</v>
      </c>
      <c r="J30" s="9">
        <f>+'Seguim Proy inversión 2015'!J33</f>
        <v>52353</v>
      </c>
      <c r="K30" s="9">
        <f>+'Seguim Proy inversión 2015'!K33</f>
        <v>31566</v>
      </c>
      <c r="L30" s="9">
        <f>+'Seguim Proy inversión 2015'!L33</f>
        <v>45581</v>
      </c>
      <c r="M30" s="9">
        <f>+'Seguim Proy inversión 2015'!M33</f>
        <v>44789</v>
      </c>
      <c r="N30" s="9">
        <f>+'Seguim Proy inversión 2015'!N33</f>
        <v>48919</v>
      </c>
      <c r="O30" s="9">
        <f>+'Seguim Proy inversión 2015'!O33</f>
        <v>44770</v>
      </c>
      <c r="P30" s="9">
        <f>+'Seguim Proy inversión 2015'!P33</f>
        <v>53737</v>
      </c>
      <c r="Q30" s="9">
        <f>+'Seguim Proy inversión 2015'!Q33</f>
        <v>43517</v>
      </c>
      <c r="R30" s="9">
        <f>+SUM(F30,G30,H30,I30,J30,K30,L30,M30,N30,O30,P30,Q30)</f>
        <v>490223</v>
      </c>
      <c r="S30" s="34">
        <f t="shared" si="0"/>
        <v>1.7507964285714286</v>
      </c>
    </row>
    <row r="31" spans="1:19" ht="12.75" customHeight="1">
      <c r="A31" s="173"/>
      <c r="B31" s="7">
        <v>792</v>
      </c>
      <c r="C31" s="7" t="s">
        <v>158</v>
      </c>
      <c r="D31" s="80">
        <v>1</v>
      </c>
      <c r="E31" s="39" t="s">
        <v>159</v>
      </c>
      <c r="F31" s="34">
        <f>+'Seguim Proy inversión 2015'!F37</f>
        <v>0</v>
      </c>
      <c r="G31" s="34">
        <f>+'Seguim Proy inversión 2015'!G37</f>
        <v>0</v>
      </c>
      <c r="H31" s="34">
        <f>+'Seguim Proy inversión 2015'!H37</f>
        <v>0.25</v>
      </c>
      <c r="I31" s="34">
        <f>+'Seguim Proy inversión 2015'!I37</f>
        <v>0.25</v>
      </c>
      <c r="J31" s="34">
        <f>+'Seguim Proy inversión 2015'!J37</f>
        <v>0.25</v>
      </c>
      <c r="K31" s="34">
        <f>+'Seguim Proy inversión 2015'!K37</f>
        <v>0.25</v>
      </c>
      <c r="L31" s="34">
        <f>+'Seguim Proy inversión 2015'!L37</f>
        <v>0.25</v>
      </c>
      <c r="M31" s="34">
        <f>+'Seguim Proy inversión 2015'!M37</f>
        <v>0.25</v>
      </c>
      <c r="N31" s="34">
        <f>+'Seguim Proy inversión 2015'!N37</f>
        <v>0.25</v>
      </c>
      <c r="O31" s="34">
        <f>+'Seguim Proy inversión 2015'!O37</f>
        <v>0.30000000000000004</v>
      </c>
      <c r="P31" s="34">
        <f>+'Seguim Proy inversión 2015'!P37</f>
        <v>0.30000000000000004</v>
      </c>
      <c r="Q31" s="34">
        <f>+'Seguim Proy inversión 2015'!Q37</f>
        <v>0.30000000000000004</v>
      </c>
      <c r="R31" s="9">
        <f>MAX(F31,G31,H31,I31,J31,K31,L31,M31,N31,O31,P31,Q31)</f>
        <v>0.30000000000000004</v>
      </c>
      <c r="S31" s="34">
        <f t="shared" si="0"/>
        <v>0.30000000000000004</v>
      </c>
    </row>
    <row r="32" spans="1:19" ht="12.75" customHeight="1">
      <c r="A32" s="173"/>
      <c r="B32" s="7">
        <v>787</v>
      </c>
      <c r="C32" s="7" t="s">
        <v>162</v>
      </c>
      <c r="D32" s="80">
        <v>4</v>
      </c>
      <c r="E32" s="39" t="s">
        <v>163</v>
      </c>
      <c r="F32" s="9">
        <f>+'Seguim Proy inversión 2015'!F39</f>
        <v>0</v>
      </c>
      <c r="G32" s="9">
        <f>+'Seguim Proy inversión 2015'!G39</f>
        <v>0</v>
      </c>
      <c r="H32" s="9">
        <f>+'Seguim Proy inversión 2015'!H39</f>
        <v>0</v>
      </c>
      <c r="I32" s="9">
        <f>+'Seguim Proy inversión 2015'!I39</f>
        <v>0</v>
      </c>
      <c r="J32" s="9">
        <f>+'Seguim Proy inversión 2015'!J39</f>
        <v>0</v>
      </c>
      <c r="K32" s="9">
        <f>+'Seguim Proy inversión 2015'!K39</f>
        <v>1</v>
      </c>
      <c r="L32" s="9">
        <f>+'Seguim Proy inversión 2015'!L39</f>
        <v>0</v>
      </c>
      <c r="M32" s="9">
        <f>+'Seguim Proy inversión 2015'!M39</f>
        <v>0</v>
      </c>
      <c r="N32" s="9">
        <f>+'Seguim Proy inversión 2015'!N39</f>
        <v>1</v>
      </c>
      <c r="O32" s="9">
        <f>+'Seguim Proy inversión 2015'!O39</f>
        <v>1</v>
      </c>
      <c r="P32" s="9">
        <f>+'Seguim Proy inversión 2015'!P39</f>
        <v>1</v>
      </c>
      <c r="Q32" s="9">
        <f>+'Seguim Proy inversión 2015'!Q39</f>
        <v>1</v>
      </c>
      <c r="R32" s="9">
        <f>MAX(F32,G32,H32,I32,J32,K32,L32,M32,N32,O32,P32,Q32)</f>
        <v>1</v>
      </c>
      <c r="S32" s="34">
        <f t="shared" si="0"/>
        <v>0.25</v>
      </c>
    </row>
    <row r="33" spans="1:19" ht="12.75" customHeight="1">
      <c r="A33" s="173"/>
      <c r="B33" s="173">
        <v>944</v>
      </c>
      <c r="C33" s="7" t="s">
        <v>164</v>
      </c>
      <c r="D33" s="80">
        <v>6</v>
      </c>
      <c r="E33" s="39" t="s">
        <v>165</v>
      </c>
      <c r="F33" s="9">
        <f>+'Seguim Proy inversión 2015'!F40</f>
        <v>0</v>
      </c>
      <c r="G33" s="9">
        <f>+'Seguim Proy inversión 2015'!G40</f>
        <v>2</v>
      </c>
      <c r="H33" s="9">
        <f>+'Seguim Proy inversión 2015'!H40</f>
        <v>2</v>
      </c>
      <c r="I33" s="9">
        <f>+'Seguim Proy inversión 2015'!I40</f>
        <v>2</v>
      </c>
      <c r="J33" s="9">
        <f>+'Seguim Proy inversión 2015'!J40</f>
        <v>3</v>
      </c>
      <c r="K33" s="9">
        <f>+'Seguim Proy inversión 2015'!K40</f>
        <v>4</v>
      </c>
      <c r="L33" s="9">
        <f>+'Seguim Proy inversión 2015'!L40</f>
        <v>4</v>
      </c>
      <c r="M33" s="9">
        <f>+'Seguim Proy inversión 2015'!M40</f>
        <v>5</v>
      </c>
      <c r="N33" s="9">
        <f>+'Seguim Proy inversión 2015'!N40</f>
        <v>5</v>
      </c>
      <c r="O33" s="9">
        <f>+'Seguim Proy inversión 2015'!O40</f>
        <v>5</v>
      </c>
      <c r="P33" s="9">
        <f>+'Seguim Proy inversión 2015'!P40</f>
        <v>6</v>
      </c>
      <c r="Q33" s="9">
        <f>+'Seguim Proy inversión 2015'!Q40</f>
        <v>6</v>
      </c>
      <c r="R33" s="9">
        <f>+'Seguim Proy inversión 2015'!R40</f>
        <v>6</v>
      </c>
      <c r="S33" s="34">
        <f t="shared" si="0"/>
        <v>1</v>
      </c>
    </row>
    <row r="34" spans="1:19" ht="12.75" customHeight="1">
      <c r="A34" s="173"/>
      <c r="B34" s="173"/>
      <c r="C34" s="7" t="s">
        <v>168</v>
      </c>
      <c r="D34" s="80">
        <v>1</v>
      </c>
      <c r="E34" s="39" t="s">
        <v>169</v>
      </c>
      <c r="F34" s="9">
        <f>+'Seguim Proy inversión 2015'!F42</f>
        <v>0</v>
      </c>
      <c r="G34" s="9">
        <f>+'Seguim Proy inversión 2015'!G42</f>
        <v>0</v>
      </c>
      <c r="H34" s="9">
        <f>+'Seguim Proy inversión 2015'!H42</f>
        <v>0</v>
      </c>
      <c r="I34" s="9">
        <f>+'Seguim Proy inversión 2015'!I42</f>
        <v>0</v>
      </c>
      <c r="J34" s="9">
        <f>+'Seguim Proy inversión 2015'!J42</f>
        <v>0</v>
      </c>
      <c r="K34" s="9">
        <f>+'Seguim Proy inversión 2015'!K42</f>
        <v>0</v>
      </c>
      <c r="L34" s="9">
        <f>+'Seguim Proy inversión 2015'!L42</f>
        <v>0</v>
      </c>
      <c r="M34" s="9">
        <f>+'Seguim Proy inversión 2015'!M42</f>
        <v>0</v>
      </c>
      <c r="N34" s="9">
        <f>+'Seguim Proy inversión 2015'!N42</f>
        <v>0</v>
      </c>
      <c r="O34" s="9">
        <f>+'Seguim Proy inversión 2015'!O42</f>
        <v>0</v>
      </c>
      <c r="P34" s="9">
        <f>+'Seguim Proy inversión 2015'!P42</f>
        <v>0</v>
      </c>
      <c r="Q34" s="9">
        <f>+'Seguim Proy inversión 2015'!Q42</f>
        <v>0</v>
      </c>
      <c r="R34" s="9">
        <f>MAX(F34,G34,H34,I34,J34,K34,L34,M34,N34,O34,P34,Q34)</f>
        <v>0</v>
      </c>
      <c r="S34" s="34">
        <f t="shared" si="0"/>
        <v>0</v>
      </c>
    </row>
    <row r="35" spans="1:19" ht="12.75" customHeight="1">
      <c r="A35" s="173"/>
      <c r="B35" s="7">
        <v>784</v>
      </c>
      <c r="C35" s="7" t="s">
        <v>174</v>
      </c>
      <c r="D35" s="82">
        <v>1</v>
      </c>
      <c r="E35" s="39" t="s">
        <v>175</v>
      </c>
      <c r="F35" s="9">
        <f>+'Seguim Proy inversión 2015'!F45</f>
        <v>0</v>
      </c>
      <c r="G35" s="9">
        <f>+'Seguim Proy inversión 2015'!G45</f>
        <v>0</v>
      </c>
      <c r="H35" s="9">
        <f>+'Seguim Proy inversión 2015'!H45</f>
        <v>0.62</v>
      </c>
      <c r="I35" s="9">
        <f>+'Seguim Proy inversión 2015'!I45</f>
        <v>0.62</v>
      </c>
      <c r="J35" s="9">
        <f>+'Seguim Proy inversión 2015'!J45</f>
        <v>0.62</v>
      </c>
      <c r="K35" s="9">
        <f>+'Seguim Proy inversión 2015'!K45</f>
        <v>0.68149999999999999</v>
      </c>
      <c r="L35" s="9">
        <f>+'Seguim Proy inversión 2015'!L45</f>
        <v>0</v>
      </c>
      <c r="M35" s="9">
        <f>+'Seguim Proy inversión 2015'!M45</f>
        <v>0</v>
      </c>
      <c r="N35" s="9">
        <f>+'Seguim Proy inversión 2015'!N45</f>
        <v>0.71399999999999997</v>
      </c>
      <c r="O35" s="34">
        <f>+'Seguim Proy inversión 2015'!O45</f>
        <v>0.71140000000000003</v>
      </c>
      <c r="P35" s="34">
        <f>+'Seguim Proy inversión 2015'!P45</f>
        <v>0.71399999999999997</v>
      </c>
      <c r="Q35" s="34">
        <f>+'Seguim Proy inversión 2015'!Q45</f>
        <v>0.78</v>
      </c>
      <c r="R35" s="9">
        <f>MAX(F35,G35,H35,I35,J35,K35,L35,M35,N35,O35,P35,Q35)</f>
        <v>0.78</v>
      </c>
      <c r="S35" s="34">
        <f t="shared" si="0"/>
        <v>0.78</v>
      </c>
    </row>
    <row r="36" spans="1:19" s="15" customFormat="1" ht="12.75" customHeight="1">
      <c r="A36" s="13"/>
      <c r="B36" s="13"/>
      <c r="C36" s="13"/>
      <c r="D36" s="13"/>
      <c r="E36" s="13"/>
      <c r="F36" s="14">
        <v>0.8</v>
      </c>
      <c r="G36" s="14">
        <v>0.8</v>
      </c>
      <c r="H36" s="14">
        <v>0.8</v>
      </c>
      <c r="I36" s="14">
        <v>0.8</v>
      </c>
      <c r="J36" s="14">
        <v>0.8</v>
      </c>
      <c r="K36" s="14">
        <v>0.8</v>
      </c>
      <c r="L36" s="14">
        <v>0.8</v>
      </c>
      <c r="M36" s="14">
        <v>0.8</v>
      </c>
      <c r="N36" s="14">
        <v>0.8</v>
      </c>
      <c r="O36" s="14">
        <v>0.8</v>
      </c>
      <c r="P36" s="14">
        <v>0.8</v>
      </c>
      <c r="Q36" s="14">
        <v>0.8</v>
      </c>
      <c r="R36" s="14"/>
      <c r="S36" s="35"/>
    </row>
    <row r="37" spans="1:19" ht="30" customHeight="1">
      <c r="A37" s="174" t="s">
        <v>96</v>
      </c>
      <c r="B37" s="174"/>
      <c r="C37" s="174"/>
      <c r="D37" s="174"/>
      <c r="E37" s="174"/>
      <c r="F37" s="174"/>
      <c r="G37" s="174"/>
      <c r="H37" s="174"/>
      <c r="I37" s="174"/>
      <c r="J37" s="174"/>
      <c r="K37" s="174"/>
      <c r="L37" s="174"/>
      <c r="M37" s="174"/>
      <c r="N37" s="176"/>
      <c r="O37" s="176"/>
      <c r="P37" s="176"/>
      <c r="Q37" s="176"/>
      <c r="R37" s="176"/>
      <c r="S37" s="176"/>
    </row>
    <row r="38" spans="1:19" ht="36.6" customHeight="1">
      <c r="A38" s="21"/>
      <c r="B38" s="21"/>
      <c r="C38" s="21"/>
      <c r="D38" s="21"/>
      <c r="E38" s="21"/>
      <c r="F38" s="21"/>
      <c r="G38" s="21"/>
      <c r="H38" s="21"/>
      <c r="I38" s="21"/>
      <c r="J38" s="21"/>
      <c r="K38" s="22"/>
      <c r="L38" s="22"/>
      <c r="M38" s="22"/>
      <c r="N38" s="177" t="s">
        <v>105</v>
      </c>
      <c r="O38" s="177"/>
      <c r="P38" s="177"/>
      <c r="Q38" s="177"/>
      <c r="R38" s="177"/>
      <c r="S38" s="177"/>
    </row>
    <row r="39" spans="1:19" ht="36.6" customHeight="1">
      <c r="A39" s="21"/>
      <c r="B39" s="21"/>
      <c r="C39" s="21"/>
      <c r="D39" s="21"/>
      <c r="E39" s="21"/>
      <c r="F39" s="21"/>
      <c r="G39" s="21"/>
      <c r="H39" s="21"/>
      <c r="I39" s="21"/>
      <c r="J39" s="21"/>
      <c r="K39" s="22"/>
      <c r="L39" s="22"/>
      <c r="M39" s="22"/>
      <c r="N39" s="173" t="s">
        <v>26</v>
      </c>
      <c r="O39" s="173"/>
      <c r="P39" s="173"/>
      <c r="Q39" s="173"/>
      <c r="R39" s="173"/>
      <c r="S39" s="173"/>
    </row>
    <row r="40" spans="1:19" ht="36.6" customHeight="1">
      <c r="A40" s="21"/>
      <c r="B40" s="21"/>
      <c r="C40" s="21"/>
      <c r="D40" s="21"/>
      <c r="E40" s="21"/>
      <c r="F40" s="21"/>
      <c r="G40" s="21"/>
      <c r="H40" s="21"/>
      <c r="I40" s="21"/>
      <c r="J40" s="21"/>
      <c r="K40" s="22"/>
      <c r="L40" s="22"/>
      <c r="M40" s="22"/>
      <c r="N40" s="173" t="s">
        <v>27</v>
      </c>
      <c r="O40" s="173"/>
      <c r="P40" s="173"/>
      <c r="Q40" s="173"/>
      <c r="R40" s="173"/>
      <c r="S40" s="173"/>
    </row>
  </sheetData>
  <sheetProtection selectLockedCells="1" selectUnlockedCells="1"/>
  <mergeCells count="29">
    <mergeCell ref="P10:S10"/>
    <mergeCell ref="A11:F11"/>
    <mergeCell ref="G11:L11"/>
    <mergeCell ref="M11:O11"/>
    <mergeCell ref="P11:S11"/>
    <mergeCell ref="A10:F10"/>
    <mergeCell ref="G10:L10"/>
    <mergeCell ref="M10:O10"/>
    <mergeCell ref="A1:T3"/>
    <mergeCell ref="A4:T6"/>
    <mergeCell ref="A7:S7"/>
    <mergeCell ref="A8:S8"/>
    <mergeCell ref="A9:F9"/>
    <mergeCell ref="G9:L9"/>
    <mergeCell ref="M9:O9"/>
    <mergeCell ref="P9:S9"/>
    <mergeCell ref="N38:S38"/>
    <mergeCell ref="N39:S39"/>
    <mergeCell ref="N40:S40"/>
    <mergeCell ref="A13:S13"/>
    <mergeCell ref="A15:A35"/>
    <mergeCell ref="B15:B16"/>
    <mergeCell ref="B17:B18"/>
    <mergeCell ref="B19:B21"/>
    <mergeCell ref="B28:B30"/>
    <mergeCell ref="B33:B34"/>
    <mergeCell ref="A37:M37"/>
    <mergeCell ref="N37:S37"/>
    <mergeCell ref="B22:B27"/>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8.42578125" style="1" customWidth="1"/>
    <col min="6" max="6" width="10.85546875" style="1" customWidth="1"/>
    <col min="7" max="9" width="10.7109375" style="1" customWidth="1"/>
    <col min="10" max="10" width="11.140625" style="1" customWidth="1"/>
    <col min="11" max="19" width="10.7109375" style="1" customWidth="1"/>
    <col min="20" max="20" width="2.7109375" style="1" customWidth="1"/>
    <col min="21" max="16384" width="11.42578125" style="1"/>
  </cols>
  <sheetData>
    <row r="1" spans="1:256" s="3" customFormat="1" ht="13.9" customHeight="1">
      <c r="A1" s="179" t="s">
        <v>0</v>
      </c>
      <c r="B1" s="179"/>
      <c r="C1" s="179"/>
      <c r="D1" s="179"/>
      <c r="E1" s="179"/>
      <c r="F1" s="179"/>
      <c r="G1" s="179"/>
      <c r="H1" s="179"/>
      <c r="I1" s="179"/>
      <c r="J1" s="179"/>
      <c r="K1" s="179"/>
      <c r="L1" s="179"/>
      <c r="M1" s="179"/>
      <c r="N1" s="179"/>
      <c r="O1" s="179"/>
      <c r="P1" s="179"/>
      <c r="Q1" s="179"/>
      <c r="R1" s="179"/>
      <c r="S1" s="179"/>
      <c r="T1" s="179"/>
    </row>
    <row r="2" spans="1:256" s="3" customFormat="1" ht="13.9" customHeight="1">
      <c r="A2" s="179"/>
      <c r="B2" s="179"/>
      <c r="C2" s="179"/>
      <c r="D2" s="179"/>
      <c r="E2" s="179"/>
      <c r="F2" s="179"/>
      <c r="G2" s="179"/>
      <c r="H2" s="179"/>
      <c r="I2" s="179"/>
      <c r="J2" s="179"/>
      <c r="K2" s="179"/>
      <c r="L2" s="179"/>
      <c r="M2" s="179"/>
      <c r="N2" s="179"/>
      <c r="O2" s="179"/>
      <c r="P2" s="179"/>
      <c r="Q2" s="179"/>
      <c r="R2" s="179"/>
      <c r="S2" s="179"/>
      <c r="T2" s="179"/>
    </row>
    <row r="3" spans="1:256" s="3" customFormat="1" ht="13.9" customHeight="1">
      <c r="A3" s="179"/>
      <c r="B3" s="179"/>
      <c r="C3" s="179"/>
      <c r="D3" s="179"/>
      <c r="E3" s="179"/>
      <c r="F3" s="179"/>
      <c r="G3" s="179"/>
      <c r="H3" s="179"/>
      <c r="I3" s="179"/>
      <c r="J3" s="179"/>
      <c r="K3" s="179"/>
      <c r="L3" s="179"/>
      <c r="M3" s="179"/>
      <c r="N3" s="179"/>
      <c r="O3" s="179"/>
      <c r="P3" s="179"/>
      <c r="Q3" s="179"/>
      <c r="R3" s="179"/>
      <c r="S3" s="179"/>
      <c r="T3" s="179"/>
    </row>
    <row r="4" spans="1:256" s="3" customFormat="1" ht="13.9" customHeight="1">
      <c r="A4" s="179" t="s">
        <v>1</v>
      </c>
      <c r="B4" s="179"/>
      <c r="C4" s="179"/>
      <c r="D4" s="179"/>
      <c r="E4" s="179"/>
      <c r="F4" s="179"/>
      <c r="G4" s="179"/>
      <c r="H4" s="179"/>
      <c r="I4" s="179"/>
      <c r="J4" s="179"/>
      <c r="K4" s="179"/>
      <c r="L4" s="179"/>
      <c r="M4" s="179"/>
      <c r="N4" s="179"/>
      <c r="O4" s="179"/>
      <c r="P4" s="179"/>
      <c r="Q4" s="179"/>
      <c r="R4" s="179"/>
      <c r="S4" s="179"/>
      <c r="T4" s="179"/>
    </row>
    <row r="5" spans="1:256" s="3" customFormat="1" ht="13.9" customHeight="1">
      <c r="A5" s="179"/>
      <c r="B5" s="179"/>
      <c r="C5" s="179"/>
      <c r="D5" s="179"/>
      <c r="E5" s="179"/>
      <c r="F5" s="179"/>
      <c r="G5" s="179"/>
      <c r="H5" s="179"/>
      <c r="I5" s="179"/>
      <c r="J5" s="179"/>
      <c r="K5" s="179"/>
      <c r="L5" s="179"/>
      <c r="M5" s="179"/>
      <c r="N5" s="179"/>
      <c r="O5" s="179"/>
      <c r="P5" s="179"/>
      <c r="Q5" s="179"/>
      <c r="R5" s="179"/>
      <c r="S5" s="179"/>
      <c r="T5" s="179"/>
    </row>
    <row r="6" spans="1:256" s="3" customFormat="1" ht="13.9" customHeight="1">
      <c r="A6" s="179"/>
      <c r="B6" s="179"/>
      <c r="C6" s="179"/>
      <c r="D6" s="179"/>
      <c r="E6" s="179"/>
      <c r="F6" s="179"/>
      <c r="G6" s="179"/>
      <c r="H6" s="179"/>
      <c r="I6" s="179"/>
      <c r="J6" s="179"/>
      <c r="K6" s="179"/>
      <c r="L6" s="179"/>
      <c r="M6" s="179"/>
      <c r="N6" s="179"/>
      <c r="O6" s="179"/>
      <c r="P6" s="179"/>
      <c r="Q6" s="179"/>
      <c r="R6" s="179"/>
      <c r="S6" s="179"/>
      <c r="T6" s="179"/>
    </row>
    <row r="7" spans="1:256" s="3" customFormat="1" ht="12.75" customHeight="1">
      <c r="A7" s="180"/>
      <c r="B7" s="180"/>
      <c r="C7" s="180"/>
      <c r="D7" s="180"/>
      <c r="E7" s="180"/>
      <c r="F7" s="180"/>
      <c r="G7" s="180"/>
      <c r="H7" s="180"/>
      <c r="I7" s="180"/>
      <c r="J7" s="180"/>
      <c r="K7" s="180"/>
      <c r="L7" s="180"/>
      <c r="M7" s="180"/>
      <c r="N7" s="180"/>
      <c r="O7" s="180"/>
      <c r="P7" s="180"/>
      <c r="Q7" s="180"/>
      <c r="R7" s="180"/>
      <c r="S7" s="180"/>
    </row>
    <row r="8" spans="1:256" ht="30" customHeight="1">
      <c r="A8" s="174" t="s">
        <v>2</v>
      </c>
      <c r="B8" s="174"/>
      <c r="C8" s="174"/>
      <c r="D8" s="174"/>
      <c r="E8" s="174"/>
      <c r="F8" s="174"/>
      <c r="G8" s="174"/>
      <c r="H8" s="174"/>
      <c r="I8" s="174"/>
      <c r="J8" s="174"/>
      <c r="K8" s="174"/>
      <c r="L8" s="174"/>
      <c r="M8" s="174"/>
      <c r="N8" s="174"/>
      <c r="O8" s="174"/>
      <c r="P8" s="174"/>
      <c r="Q8" s="174"/>
      <c r="R8" s="174"/>
      <c r="S8" s="174"/>
    </row>
    <row r="9" spans="1:256" ht="42" customHeight="1">
      <c r="A9" s="177" t="s">
        <v>3</v>
      </c>
      <c r="B9" s="177"/>
      <c r="C9" s="177"/>
      <c r="D9" s="177"/>
      <c r="E9" s="177"/>
      <c r="F9" s="177"/>
      <c r="G9" s="178" t="s">
        <v>202</v>
      </c>
      <c r="H9" s="178"/>
      <c r="I9" s="178"/>
      <c r="J9" s="178"/>
      <c r="K9" s="178"/>
      <c r="L9" s="178"/>
      <c r="M9" s="177" t="s">
        <v>5</v>
      </c>
      <c r="N9" s="177"/>
      <c r="O9" s="177"/>
      <c r="P9" s="186" t="s">
        <v>111</v>
      </c>
      <c r="Q9" s="186"/>
      <c r="R9" s="186"/>
      <c r="S9" s="186"/>
    </row>
    <row r="10" spans="1:256" ht="42" customHeight="1">
      <c r="A10" s="177" t="s">
        <v>7</v>
      </c>
      <c r="B10" s="177"/>
      <c r="C10" s="177"/>
      <c r="D10" s="177"/>
      <c r="E10" s="177"/>
      <c r="F10" s="177"/>
      <c r="G10" s="178" t="s">
        <v>8</v>
      </c>
      <c r="H10" s="178"/>
      <c r="I10" s="178"/>
      <c r="J10" s="178"/>
      <c r="K10" s="178"/>
      <c r="L10" s="178"/>
      <c r="M10" s="177" t="s">
        <v>9</v>
      </c>
      <c r="N10" s="177"/>
      <c r="O10" s="177"/>
      <c r="P10" s="186" t="s">
        <v>10</v>
      </c>
      <c r="Q10" s="186"/>
      <c r="R10" s="186"/>
      <c r="S10" s="186"/>
    </row>
    <row r="11" spans="1:256" ht="52.9" customHeight="1">
      <c r="A11" s="177" t="s">
        <v>11</v>
      </c>
      <c r="B11" s="177"/>
      <c r="C11" s="177"/>
      <c r="D11" s="177"/>
      <c r="E11" s="177"/>
      <c r="F11" s="177"/>
      <c r="G11" s="178" t="s">
        <v>112</v>
      </c>
      <c r="H11" s="178"/>
      <c r="I11" s="178"/>
      <c r="J11" s="178"/>
      <c r="K11" s="178"/>
      <c r="L11" s="178"/>
      <c r="M11" s="177" t="s">
        <v>32</v>
      </c>
      <c r="N11" s="177"/>
      <c r="O11" s="177"/>
      <c r="P11" s="186" t="s">
        <v>33</v>
      </c>
      <c r="Q11" s="186"/>
      <c r="R11" s="186"/>
      <c r="S11" s="186"/>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4" t="s">
        <v>52</v>
      </c>
      <c r="B13" s="174"/>
      <c r="C13" s="174"/>
      <c r="D13" s="174"/>
      <c r="E13" s="174"/>
      <c r="F13" s="174"/>
      <c r="G13" s="174"/>
      <c r="H13" s="174"/>
      <c r="I13" s="174"/>
      <c r="J13" s="174"/>
      <c r="K13" s="174"/>
      <c r="L13" s="174"/>
      <c r="M13" s="174"/>
      <c r="N13" s="174"/>
      <c r="O13" s="174"/>
      <c r="P13" s="174"/>
      <c r="Q13" s="174"/>
      <c r="R13" s="174"/>
      <c r="S13" s="174"/>
    </row>
    <row r="14" spans="1:256" ht="30" customHeight="1">
      <c r="A14" s="4" t="s">
        <v>53</v>
      </c>
      <c r="B14" s="4" t="s">
        <v>114</v>
      </c>
      <c r="C14" s="6" t="s">
        <v>115</v>
      </c>
      <c r="D14" s="6" t="s">
        <v>203</v>
      </c>
      <c r="E14" s="6" t="s">
        <v>117</v>
      </c>
      <c r="F14" s="6" t="s">
        <v>55</v>
      </c>
      <c r="G14" s="4" t="s">
        <v>56</v>
      </c>
      <c r="H14" s="4" t="s">
        <v>57</v>
      </c>
      <c r="I14" s="4" t="s">
        <v>58</v>
      </c>
      <c r="J14" s="4" t="s">
        <v>59</v>
      </c>
      <c r="K14" s="4" t="s">
        <v>60</v>
      </c>
      <c r="L14" s="4" t="s">
        <v>61</v>
      </c>
      <c r="M14" s="4" t="s">
        <v>62</v>
      </c>
      <c r="N14" s="4" t="s">
        <v>63</v>
      </c>
      <c r="O14" s="4" t="s">
        <v>64</v>
      </c>
      <c r="P14" s="4" t="s">
        <v>65</v>
      </c>
      <c r="Q14" s="4" t="s">
        <v>66</v>
      </c>
      <c r="R14" s="4" t="s">
        <v>204</v>
      </c>
      <c r="S14" s="4" t="s">
        <v>205</v>
      </c>
    </row>
    <row r="15" spans="1:256" ht="15" customHeight="1">
      <c r="A15" s="173">
        <v>2016</v>
      </c>
      <c r="B15" s="173">
        <v>914</v>
      </c>
      <c r="C15" s="7" t="s">
        <v>121</v>
      </c>
      <c r="D15" s="79">
        <v>92000</v>
      </c>
      <c r="E15" s="39" t="s">
        <v>122</v>
      </c>
      <c r="F15" s="9">
        <f>+'Seguim Proy inversión 2016'!F15</f>
        <v>0</v>
      </c>
      <c r="G15" s="9">
        <f>+'Seguim Proy inversión 2016'!G15</f>
        <v>221</v>
      </c>
      <c r="H15" s="9">
        <f>+'Seguim Proy inversión 2016'!H15</f>
        <v>15463</v>
      </c>
      <c r="I15" s="9">
        <f>+'Seguim Proy inversión 2016'!I15</f>
        <v>17677</v>
      </c>
      <c r="J15" s="9">
        <f>+'Seguim Proy inversión 2016'!J15</f>
        <v>9524</v>
      </c>
      <c r="K15" s="9">
        <f>+'Seguim Proy inversión 2016'!K15</f>
        <v>0</v>
      </c>
      <c r="L15" s="9">
        <f>+'Seguim Proy inversión 2016'!L15</f>
        <v>0</v>
      </c>
      <c r="M15" s="9">
        <f>+'Seguim Proy inversión 2016'!M15</f>
        <v>0</v>
      </c>
      <c r="N15" s="9">
        <f>+'Seguim Proy inversión 2016'!N15</f>
        <v>0</v>
      </c>
      <c r="O15" s="9">
        <f>+'Seguim Proy inversión 2016'!O15</f>
        <v>0</v>
      </c>
      <c r="P15" s="9">
        <f>+'Seguim Proy inversión 2016'!P15</f>
        <v>0</v>
      </c>
      <c r="Q15" s="9">
        <f>+'Seguim Proy inversión 2016'!Q15</f>
        <v>0</v>
      </c>
      <c r="R15" s="9">
        <f>+SUM(F15,G15,H15,I15,J15,K15,L15,M15,N15,O15,P15,Q15)</f>
        <v>42885</v>
      </c>
      <c r="S15" s="34">
        <f t="shared" ref="S15:S35" si="0">+R15/D15</f>
        <v>0.46614130434782608</v>
      </c>
    </row>
    <row r="16" spans="1:256" ht="28.5" customHeight="1">
      <c r="A16" s="173"/>
      <c r="B16" s="173"/>
      <c r="C16" s="7" t="s">
        <v>123</v>
      </c>
      <c r="D16" s="79">
        <v>50</v>
      </c>
      <c r="E16" s="39" t="s">
        <v>124</v>
      </c>
      <c r="F16" s="9">
        <f>+'Seguim Proy inversión 2016'!F16</f>
        <v>78</v>
      </c>
      <c r="G16" s="9">
        <f>+'Seguim Proy inversión 2016'!G16</f>
        <v>78</v>
      </c>
      <c r="H16" s="9">
        <f>+'Seguim Proy inversión 2016'!H16</f>
        <v>83</v>
      </c>
      <c r="I16" s="9">
        <f>+'Seguim Proy inversión 2016'!I16</f>
        <v>83</v>
      </c>
      <c r="J16" s="9">
        <f>+'Seguim Proy inversión 2016'!J16</f>
        <v>85</v>
      </c>
      <c r="K16" s="9">
        <f>+'Seguim Proy inversión 2016'!K16</f>
        <v>0</v>
      </c>
      <c r="L16" s="9">
        <f>+'Seguim Proy inversión 2016'!L16</f>
        <v>0</v>
      </c>
      <c r="M16" s="9">
        <f>+'Seguim Proy inversión 2016'!M16</f>
        <v>0</v>
      </c>
      <c r="N16" s="9">
        <f>+'Seguim Proy inversión 2016'!N16</f>
        <v>0</v>
      </c>
      <c r="O16" s="9">
        <f>+'Seguim Proy inversión 2016'!O16</f>
        <v>0</v>
      </c>
      <c r="P16" s="9">
        <f>+'Seguim Proy inversión 2016'!P16</f>
        <v>0</v>
      </c>
      <c r="Q16" s="9">
        <f>+'Seguim Proy inversión 2016'!Q16</f>
        <v>0</v>
      </c>
      <c r="R16" s="9">
        <f>MAX(F16,G16,H16,I16,J16,K16,L16,M16,N16,O16,P16,Q16)</f>
        <v>85</v>
      </c>
      <c r="S16" s="34">
        <f t="shared" si="0"/>
        <v>1.7</v>
      </c>
    </row>
    <row r="17" spans="1:19" ht="30" customHeight="1">
      <c r="A17" s="173"/>
      <c r="B17" s="173">
        <v>915</v>
      </c>
      <c r="C17" s="7" t="s">
        <v>125</v>
      </c>
      <c r="D17" s="79">
        <v>65216</v>
      </c>
      <c r="E17" s="39" t="s">
        <v>126</v>
      </c>
      <c r="F17" s="9">
        <f>+'Seguim Proy inversión 2016'!F17</f>
        <v>0</v>
      </c>
      <c r="G17" s="9">
        <f>+'Seguim Proy inversión 2016'!G17</f>
        <v>39093</v>
      </c>
      <c r="H17" s="9">
        <f>+'Seguim Proy inversión 2016'!H17</f>
        <v>40947</v>
      </c>
      <c r="I17" s="9">
        <f>+'Seguim Proy inversión 2016'!I17</f>
        <v>47122</v>
      </c>
      <c r="J17" s="9">
        <f>+'Seguim Proy inversión 2016'!J17</f>
        <v>48935</v>
      </c>
      <c r="K17" s="9">
        <f>+'Seguim Proy inversión 2016'!K17</f>
        <v>0</v>
      </c>
      <c r="L17" s="9">
        <f>+'Seguim Proy inversión 2016'!L17</f>
        <v>0</v>
      </c>
      <c r="M17" s="9">
        <f>+'Seguim Proy inversión 2016'!M17</f>
        <v>0</v>
      </c>
      <c r="N17" s="9">
        <f>+'Seguim Proy inversión 2016'!N17</f>
        <v>0</v>
      </c>
      <c r="O17" s="9">
        <f>+'Seguim Proy inversión 2016'!O17</f>
        <v>0</v>
      </c>
      <c r="P17" s="9">
        <f>+'Seguim Proy inversión 2016'!P17</f>
        <v>0</v>
      </c>
      <c r="Q17" s="9">
        <f>+'Seguim Proy inversión 2016'!Q17</f>
        <v>0</v>
      </c>
      <c r="R17" s="9">
        <f>MAX(F17,G17,H17,I17,J17,K17,L17,M17,N17,O17,P17,Q17)</f>
        <v>48935</v>
      </c>
      <c r="S17" s="34">
        <f t="shared" si="0"/>
        <v>0.75035267419038276</v>
      </c>
    </row>
    <row r="18" spans="1:19" ht="30" customHeight="1">
      <c r="A18" s="173"/>
      <c r="B18" s="173"/>
      <c r="C18" s="7" t="s">
        <v>127</v>
      </c>
      <c r="D18" s="79">
        <v>150</v>
      </c>
      <c r="E18" s="39" t="s">
        <v>128</v>
      </c>
      <c r="F18" s="9">
        <f>+'Seguim Proy inversión 2016'!F18</f>
        <v>0</v>
      </c>
      <c r="G18" s="9">
        <f>+'Seguim Proy inversión 2016'!G18</f>
        <v>0</v>
      </c>
      <c r="H18" s="9">
        <f>+'Seguim Proy inversión 2016'!H18</f>
        <v>12</v>
      </c>
      <c r="I18" s="9">
        <f>+'Seguim Proy inversión 2016'!I18</f>
        <v>10</v>
      </c>
      <c r="J18" s="9">
        <f>+'Seguim Proy inversión 2016'!J18</f>
        <v>14</v>
      </c>
      <c r="K18" s="9">
        <f>+'Seguim Proy inversión 2016'!K18</f>
        <v>0</v>
      </c>
      <c r="L18" s="9">
        <f>+'Seguim Proy inversión 2016'!L18</f>
        <v>0</v>
      </c>
      <c r="M18" s="9">
        <f>+'Seguim Proy inversión 2016'!M18</f>
        <v>0</v>
      </c>
      <c r="N18" s="9">
        <f>+'Seguim Proy inversión 2016'!N18</f>
        <v>0</v>
      </c>
      <c r="O18" s="9">
        <f>+'Seguim Proy inversión 2016'!O18</f>
        <v>0</v>
      </c>
      <c r="P18" s="9">
        <f>+'Seguim Proy inversión 2016'!P18</f>
        <v>0</v>
      </c>
      <c r="Q18" s="9">
        <f>+'Seguim Proy inversión 2016'!Q18</f>
        <v>0</v>
      </c>
      <c r="R18" s="9">
        <f>+SUM(F18,G18,H18,I18,J18,K18,L18,M18,N18,O18,P18,Q18)</f>
        <v>36</v>
      </c>
      <c r="S18" s="34">
        <f t="shared" si="0"/>
        <v>0.24</v>
      </c>
    </row>
    <row r="19" spans="1:19" ht="15" customHeight="1">
      <c r="A19" s="173"/>
      <c r="B19" s="173">
        <v>772</v>
      </c>
      <c r="C19" s="7" t="s">
        <v>129</v>
      </c>
      <c r="D19" s="79">
        <v>6</v>
      </c>
      <c r="E19" s="39" t="s">
        <v>130</v>
      </c>
      <c r="F19" s="9">
        <f>+'Seguim Proy inversión 2016'!F19</f>
        <v>2</v>
      </c>
      <c r="G19" s="9">
        <f>+'Seguim Proy inversión 2016'!G19</f>
        <v>0</v>
      </c>
      <c r="H19" s="9">
        <f>+'Seguim Proy inversión 2016'!H19</f>
        <v>0</v>
      </c>
      <c r="I19" s="9">
        <f>+'Seguim Proy inversión 2016'!I19</f>
        <v>1</v>
      </c>
      <c r="J19" s="9">
        <f>+'Seguim Proy inversión 2016'!J19</f>
        <v>0</v>
      </c>
      <c r="K19" s="9">
        <f>+'Seguim Proy inversión 2016'!K19</f>
        <v>0</v>
      </c>
      <c r="L19" s="9">
        <f>+'Seguim Proy inversión 2016'!L19</f>
        <v>0</v>
      </c>
      <c r="M19" s="9">
        <f>+'Seguim Proy inversión 2016'!M19</f>
        <v>0</v>
      </c>
      <c r="N19" s="9">
        <f>+'Seguim Proy inversión 2016'!N19</f>
        <v>0</v>
      </c>
      <c r="O19" s="9">
        <f>+'Seguim Proy inversión 2016'!O19</f>
        <v>0</v>
      </c>
      <c r="P19" s="9">
        <f>+'Seguim Proy inversión 2016'!P19</f>
        <v>0</v>
      </c>
      <c r="Q19" s="9">
        <f>+'Seguim Proy inversión 2016'!Q19</f>
        <v>0</v>
      </c>
      <c r="R19" s="9">
        <f>MAX(F19,G19,H19,I19,J19,K19,L19,M19,N19,O19,P19,Q19)</f>
        <v>2</v>
      </c>
      <c r="S19" s="34">
        <f t="shared" si="0"/>
        <v>0.33333333333333331</v>
      </c>
    </row>
    <row r="20" spans="1:19" ht="15" customHeight="1">
      <c r="A20" s="173"/>
      <c r="B20" s="173"/>
      <c r="C20" s="7" t="s">
        <v>131</v>
      </c>
      <c r="D20" s="79">
        <v>100</v>
      </c>
      <c r="E20" s="39" t="s">
        <v>132</v>
      </c>
      <c r="F20" s="9">
        <f>+'Seguim Proy inversión 2016'!F20</f>
        <v>0</v>
      </c>
      <c r="G20" s="9">
        <f>+'Seguim Proy inversión 2016'!G20</f>
        <v>0</v>
      </c>
      <c r="H20" s="9">
        <f>+'Seguim Proy inversión 2016'!H20</f>
        <v>3</v>
      </c>
      <c r="I20" s="9">
        <f>+'Seguim Proy inversión 2016'!I20</f>
        <v>2</v>
      </c>
      <c r="J20" s="9">
        <f>+'Seguim Proy inversión 2016'!J20</f>
        <v>0</v>
      </c>
      <c r="K20" s="9">
        <f>+'Seguim Proy inversión 2016'!K20</f>
        <v>0</v>
      </c>
      <c r="L20" s="9">
        <f>+'Seguim Proy inversión 2016'!L20</f>
        <v>0</v>
      </c>
      <c r="M20" s="9">
        <f>+'Seguim Proy inversión 2016'!M20</f>
        <v>0</v>
      </c>
      <c r="N20" s="9">
        <f>+'Seguim Proy inversión 2016'!N20</f>
        <v>0</v>
      </c>
      <c r="O20" s="9">
        <f>+'Seguim Proy inversión 2016'!O20</f>
        <v>0</v>
      </c>
      <c r="P20" s="9">
        <f>+'Seguim Proy inversión 2016'!P20</f>
        <v>0</v>
      </c>
      <c r="Q20" s="9">
        <f>+'Seguim Proy inversión 2016'!Q20</f>
        <v>0</v>
      </c>
      <c r="R20" s="9">
        <f>+SUM(F20,G20,H20,I20,J20,K20,L20,M20,N20,O20,P20,Q20)</f>
        <v>5</v>
      </c>
      <c r="S20" s="34">
        <f t="shared" si="0"/>
        <v>0.05</v>
      </c>
    </row>
    <row r="21" spans="1:19" ht="15" customHeight="1">
      <c r="A21" s="173"/>
      <c r="B21" s="173"/>
      <c r="C21" s="7" t="s">
        <v>131</v>
      </c>
      <c r="D21" s="79">
        <v>5</v>
      </c>
      <c r="E21" s="39" t="s">
        <v>133</v>
      </c>
      <c r="F21" s="9">
        <f>+'Seguim Proy inversión 2016'!F21</f>
        <v>0</v>
      </c>
      <c r="G21" s="9">
        <f>+'Seguim Proy inversión 2016'!G21</f>
        <v>0</v>
      </c>
      <c r="H21" s="9">
        <f>+'Seguim Proy inversión 2016'!H21</f>
        <v>0</v>
      </c>
      <c r="I21" s="9">
        <f>+'Seguim Proy inversión 2016'!I21</f>
        <v>0</v>
      </c>
      <c r="J21" s="9">
        <f>+'Seguim Proy inversión 2016'!J21</f>
        <v>0</v>
      </c>
      <c r="K21" s="9">
        <f>+'Seguim Proy inversión 2016'!K21</f>
        <v>0</v>
      </c>
      <c r="L21" s="9">
        <f>+'Seguim Proy inversión 2016'!L21</f>
        <v>0</v>
      </c>
      <c r="M21" s="9">
        <f>+'Seguim Proy inversión 2016'!M21</f>
        <v>0</v>
      </c>
      <c r="N21" s="9">
        <f>+'Seguim Proy inversión 2016'!N21</f>
        <v>0</v>
      </c>
      <c r="O21" s="9">
        <f>+'Seguim Proy inversión 2016'!O21</f>
        <v>0</v>
      </c>
      <c r="P21" s="9">
        <f>+'Seguim Proy inversión 2016'!P21</f>
        <v>0</v>
      </c>
      <c r="Q21" s="9">
        <f>+'Seguim Proy inversión 2016'!Q21</f>
        <v>0</v>
      </c>
      <c r="R21" s="9">
        <f>MAX(F21,G21,H21,I21,J21,K21,L21,M21,N21,O21,P21,Q21)</f>
        <v>0</v>
      </c>
      <c r="S21" s="34">
        <f t="shared" si="0"/>
        <v>0</v>
      </c>
    </row>
    <row r="22" spans="1:19" ht="15" customHeight="1">
      <c r="A22" s="173"/>
      <c r="B22" s="173">
        <v>795</v>
      </c>
      <c r="C22" s="7" t="s">
        <v>134</v>
      </c>
      <c r="D22" s="80">
        <v>1140000</v>
      </c>
      <c r="E22" s="39" t="s">
        <v>135</v>
      </c>
      <c r="F22" s="9">
        <f>+'Seguim Proy inversión 2016'!F22</f>
        <v>12088</v>
      </c>
      <c r="G22" s="9">
        <f>+'Seguim Proy inversión 2016'!G22</f>
        <v>5317</v>
      </c>
      <c r="H22" s="9">
        <f>+'Seguim Proy inversión 2016'!H22</f>
        <v>216500</v>
      </c>
      <c r="I22" s="9">
        <f>+'Seguim Proy inversión 2016'!I22</f>
        <v>29071</v>
      </c>
      <c r="J22" s="9">
        <f>+'Seguim Proy inversión 2016'!J22</f>
        <v>14811</v>
      </c>
      <c r="K22" s="9">
        <f>+'Seguim Proy inversión 2016'!K22</f>
        <v>0</v>
      </c>
      <c r="L22" s="9">
        <f>+'Seguim Proy inversión 2016'!L22</f>
        <v>0</v>
      </c>
      <c r="M22" s="9">
        <f>+'Seguim Proy inversión 2016'!M22</f>
        <v>0</v>
      </c>
      <c r="N22" s="9">
        <f>+'Seguim Proy inversión 2016'!N22</f>
        <v>0</v>
      </c>
      <c r="O22" s="9">
        <f>+'Seguim Proy inversión 2016'!O22</f>
        <v>0</v>
      </c>
      <c r="P22" s="9">
        <f>+'Seguim Proy inversión 2016'!P22</f>
        <v>0</v>
      </c>
      <c r="Q22" s="9">
        <f>+'Seguim Proy inversión 2016'!Q22</f>
        <v>0</v>
      </c>
      <c r="R22" s="9">
        <f>+SUM(F22,G22,H22,I22,J22,K22,L22,M22,N22,O22,P22,Q22)</f>
        <v>277787</v>
      </c>
      <c r="S22" s="34">
        <f t="shared" si="0"/>
        <v>0.24367280701754385</v>
      </c>
    </row>
    <row r="23" spans="1:19" ht="12.75" customHeight="1">
      <c r="A23" s="173"/>
      <c r="B23" s="173"/>
      <c r="C23" s="7" t="s">
        <v>131</v>
      </c>
      <c r="D23" s="80">
        <v>2486</v>
      </c>
      <c r="E23" s="39" t="s">
        <v>140</v>
      </c>
      <c r="F23" s="9">
        <f>+'Seguim Proy inversión 2016'!F25</f>
        <v>0</v>
      </c>
      <c r="G23" s="9">
        <f>+'Seguim Proy inversión 2016'!G25</f>
        <v>0</v>
      </c>
      <c r="H23" s="9">
        <f>+'Seguim Proy inversión 2016'!H25</f>
        <v>10</v>
      </c>
      <c r="I23" s="9">
        <f>+'Seguim Proy inversión 2016'!I25</f>
        <v>33</v>
      </c>
      <c r="J23" s="9">
        <f>+'Seguim Proy inversión 2016'!J25</f>
        <v>123</v>
      </c>
      <c r="K23" s="9">
        <f>+'Seguim Proy inversión 2016'!K25</f>
        <v>0</v>
      </c>
      <c r="L23" s="9">
        <f>+'Seguim Proy inversión 2016'!L25</f>
        <v>0</v>
      </c>
      <c r="M23" s="9">
        <f>+'Seguim Proy inversión 2016'!M25</f>
        <v>0</v>
      </c>
      <c r="N23" s="9">
        <f>+'Seguim Proy inversión 2016'!N25</f>
        <v>0</v>
      </c>
      <c r="O23" s="9">
        <f>+'Seguim Proy inversión 2016'!O25</f>
        <v>0</v>
      </c>
      <c r="P23" s="9">
        <f>+'Seguim Proy inversión 2016'!P25</f>
        <v>0</v>
      </c>
      <c r="Q23" s="9">
        <f>+'Seguim Proy inversión 2016'!Q25</f>
        <v>0</v>
      </c>
      <c r="R23" s="9">
        <f>MAX(F23,G23,H23,I23,J23,K23,L23,M23,N23,O23,P23,Q23)</f>
        <v>123</v>
      </c>
      <c r="S23" s="34">
        <f t="shared" si="0"/>
        <v>4.9477071600965407E-2</v>
      </c>
    </row>
    <row r="24" spans="1:19" ht="12.75" customHeight="1">
      <c r="A24" s="173"/>
      <c r="B24" s="173"/>
      <c r="C24" s="7" t="s">
        <v>206</v>
      </c>
      <c r="D24" s="81">
        <v>0.2</v>
      </c>
      <c r="E24" s="39" t="s">
        <v>207</v>
      </c>
      <c r="F24" s="9">
        <f>+'Seguim Proy inversión 2016'!F26</f>
        <v>0</v>
      </c>
      <c r="G24" s="9">
        <f>+'Seguim Proy inversión 2016'!G26</f>
        <v>0</v>
      </c>
      <c r="H24" s="9">
        <f>+'Seguim Proy inversión 2016'!H26</f>
        <v>0</v>
      </c>
      <c r="I24" s="9">
        <f>+'Seguim Proy inversión 2016'!I26</f>
        <v>0</v>
      </c>
      <c r="J24" s="34">
        <f>+'Seguim Proy inversión 2016'!J26</f>
        <v>0.06</v>
      </c>
      <c r="K24" s="34">
        <f>+'Seguim Proy inversión 2016'!K26</f>
        <v>0</v>
      </c>
      <c r="L24" s="34">
        <f>+'Seguim Proy inversión 2016'!L26</f>
        <v>0</v>
      </c>
      <c r="M24" s="34">
        <f>+'Seguim Proy inversión 2016'!M26</f>
        <v>0</v>
      </c>
      <c r="N24" s="34">
        <f>+'Seguim Proy inversión 2016'!N26</f>
        <v>0</v>
      </c>
      <c r="O24" s="34">
        <f>+'Seguim Proy inversión 2016'!O26</f>
        <v>0</v>
      </c>
      <c r="P24" s="34">
        <f>+'Seguim Proy inversión 2016'!P26</f>
        <v>0</v>
      </c>
      <c r="Q24" s="34">
        <f>+'Seguim Proy inversión 2016'!Q26</f>
        <v>0</v>
      </c>
      <c r="R24" s="9">
        <f>MAX(F24,G24,H24,I24,J24,K24,L24,M24,N24,O24,P24,Q24)</f>
        <v>0.06</v>
      </c>
      <c r="S24" s="34">
        <f t="shared" si="0"/>
        <v>0.3</v>
      </c>
    </row>
    <row r="25" spans="1:19" ht="12.75" customHeight="1">
      <c r="A25" s="173"/>
      <c r="B25" s="173"/>
      <c r="C25" s="43" t="s">
        <v>143</v>
      </c>
      <c r="D25" s="80">
        <v>303000</v>
      </c>
      <c r="E25" s="39" t="s">
        <v>137</v>
      </c>
      <c r="F25" s="9">
        <f>+'Seguim Proy inversión 2016'!F27</f>
        <v>3393</v>
      </c>
      <c r="G25" s="9">
        <f>+'Seguim Proy inversión 2016'!G27</f>
        <v>2869</v>
      </c>
      <c r="H25" s="9">
        <f>+'Seguim Proy inversión 2016'!H27</f>
        <v>4109</v>
      </c>
      <c r="I25" s="9">
        <f>+'Seguim Proy inversión 2016'!I27</f>
        <v>17065</v>
      </c>
      <c r="J25" s="9">
        <f>+'Seguim Proy inversión 2016'!J27</f>
        <v>4023</v>
      </c>
      <c r="K25" s="9">
        <f>+'Seguim Proy inversión 2016'!K27</f>
        <v>0</v>
      </c>
      <c r="L25" s="9">
        <f>+'Seguim Proy inversión 2016'!L27</f>
        <v>0</v>
      </c>
      <c r="M25" s="9">
        <f>+'Seguim Proy inversión 2016'!M27</f>
        <v>0</v>
      </c>
      <c r="N25" s="9">
        <f>+'Seguim Proy inversión 2016'!N27</f>
        <v>0</v>
      </c>
      <c r="O25" s="9">
        <f>+'Seguim Proy inversión 2016'!O27</f>
        <v>0</v>
      </c>
      <c r="P25" s="9">
        <f>+'Seguim Proy inversión 2016'!P27</f>
        <v>0</v>
      </c>
      <c r="Q25" s="9">
        <f>+'Seguim Proy inversión 2016'!Q27</f>
        <v>0</v>
      </c>
      <c r="R25" s="9">
        <f>+SUM(F25,G25,H25,I25,J25,K25,L25,M25,N25,O25,P25,Q25)</f>
        <v>31459</v>
      </c>
      <c r="S25" s="34">
        <f t="shared" si="0"/>
        <v>0.10382508250825083</v>
      </c>
    </row>
    <row r="26" spans="1:19" ht="12.75" customHeight="1">
      <c r="A26" s="173"/>
      <c r="B26" s="173"/>
      <c r="C26" s="43" t="s">
        <v>144</v>
      </c>
      <c r="D26" s="80">
        <v>50</v>
      </c>
      <c r="E26" s="39" t="s">
        <v>145</v>
      </c>
      <c r="F26" s="9">
        <f>+'Seguim Proy inversión 2016'!F28</f>
        <v>0</v>
      </c>
      <c r="G26" s="9">
        <f>+'Seguim Proy inversión 2016'!G28</f>
        <v>0</v>
      </c>
      <c r="H26" s="9">
        <f>+'Seguim Proy inversión 2016'!H28</f>
        <v>0</v>
      </c>
      <c r="I26" s="9">
        <f>+'Seguim Proy inversión 2016'!I28</f>
        <v>0</v>
      </c>
      <c r="J26" s="9">
        <f>+'Seguim Proy inversión 2016'!J28</f>
        <v>0</v>
      </c>
      <c r="K26" s="9">
        <f>+'Seguim Proy inversión 2016'!K28</f>
        <v>0</v>
      </c>
      <c r="L26" s="9">
        <f>+'Seguim Proy inversión 2016'!L28</f>
        <v>0</v>
      </c>
      <c r="M26" s="9">
        <f>+'Seguim Proy inversión 2016'!M28</f>
        <v>0</v>
      </c>
      <c r="N26" s="9">
        <f>+'Seguim Proy inversión 2016'!N28</f>
        <v>0</v>
      </c>
      <c r="O26" s="9">
        <f>+'Seguim Proy inversión 2016'!O28</f>
        <v>0</v>
      </c>
      <c r="P26" s="9">
        <f>+'Seguim Proy inversión 2016'!P28</f>
        <v>0</v>
      </c>
      <c r="Q26" s="9">
        <f>+'Seguim Proy inversión 2016'!Q28</f>
        <v>0</v>
      </c>
      <c r="R26" s="9">
        <f>MAX(F26,G26,H26,I26,J26,K26,L26,M26,N26,O26,P26,Q26)</f>
        <v>0</v>
      </c>
      <c r="S26" s="34">
        <f t="shared" si="0"/>
        <v>0</v>
      </c>
    </row>
    <row r="27" spans="1:19" ht="12.75" customHeight="1">
      <c r="A27" s="173"/>
      <c r="B27" s="173"/>
      <c r="C27" s="43" t="s">
        <v>185</v>
      </c>
      <c r="D27" s="80">
        <v>7</v>
      </c>
      <c r="E27" s="39" t="s">
        <v>147</v>
      </c>
      <c r="F27" s="9">
        <f>+'Seguim Proy inversión 2016'!F29</f>
        <v>0</v>
      </c>
      <c r="G27" s="9">
        <f>+'Seguim Proy inversión 2016'!G29</f>
        <v>0</v>
      </c>
      <c r="H27" s="9">
        <f>+'Seguim Proy inversión 2016'!H29</f>
        <v>0</v>
      </c>
      <c r="I27" s="9">
        <f>+'Seguim Proy inversión 2016'!I29</f>
        <v>0</v>
      </c>
      <c r="J27" s="9">
        <f>+'Seguim Proy inversión 2016'!J29</f>
        <v>0</v>
      </c>
      <c r="K27" s="9">
        <f>+'Seguim Proy inversión 2016'!K29</f>
        <v>0</v>
      </c>
      <c r="L27" s="9">
        <f>+'Seguim Proy inversión 2016'!L29</f>
        <v>0</v>
      </c>
      <c r="M27" s="9">
        <f>+'Seguim Proy inversión 2016'!M29</f>
        <v>0</v>
      </c>
      <c r="N27" s="9">
        <f>+'Seguim Proy inversión 2016'!N29</f>
        <v>0</v>
      </c>
      <c r="O27" s="9">
        <f>+'Seguim Proy inversión 2016'!O29</f>
        <v>0</v>
      </c>
      <c r="P27" s="9">
        <f>+'Seguim Proy inversión 2016'!P29</f>
        <v>0</v>
      </c>
      <c r="Q27" s="9">
        <f>+'Seguim Proy inversión 2016'!Q29</f>
        <v>0</v>
      </c>
      <c r="R27" s="9">
        <f>MAX(F27,G27,H27,I27,J27,K27,L27,M27,N27,O27,P27,Q27)</f>
        <v>0</v>
      </c>
      <c r="S27" s="34">
        <f t="shared" si="0"/>
        <v>0</v>
      </c>
    </row>
    <row r="28" spans="1:19" ht="12.75" customHeight="1">
      <c r="A28" s="173"/>
      <c r="B28" s="173">
        <v>783</v>
      </c>
      <c r="C28" s="7" t="s">
        <v>150</v>
      </c>
      <c r="D28" s="81">
        <v>0.499</v>
      </c>
      <c r="E28" s="39" t="s">
        <v>151</v>
      </c>
      <c r="F28" s="9">
        <f>+'Seguim Proy inversión 2016'!F31</f>
        <v>0</v>
      </c>
      <c r="G28" s="9">
        <f>+'Seguim Proy inversión 2016'!G31</f>
        <v>0</v>
      </c>
      <c r="H28" s="9">
        <f>+'Seguim Proy inversión 2016'!H31</f>
        <v>0</v>
      </c>
      <c r="I28" s="9">
        <f>+'Seguim Proy inversión 2016'!I31</f>
        <v>0</v>
      </c>
      <c r="J28" s="34">
        <f>+'Seguim Proy inversión 2016'!J31</f>
        <v>0.41560000000000002</v>
      </c>
      <c r="K28" s="9">
        <f>+'Seguim Proy inversión 2016'!K31</f>
        <v>0</v>
      </c>
      <c r="L28" s="9">
        <f>+'Seguim Proy inversión 2016'!L31</f>
        <v>0</v>
      </c>
      <c r="M28" s="9">
        <f>+'Seguim Proy inversión 2016'!M31</f>
        <v>0</v>
      </c>
      <c r="N28" s="9">
        <f>+'Seguim Proy inversión 2016'!N31</f>
        <v>0</v>
      </c>
      <c r="O28" s="9">
        <f>+'Seguim Proy inversión 2016'!O31</f>
        <v>0</v>
      </c>
      <c r="P28" s="9">
        <f>+'Seguim Proy inversión 2016'!P31</f>
        <v>0</v>
      </c>
      <c r="Q28" s="9">
        <f>+'Seguim Proy inversión 2016'!Q31</f>
        <v>0</v>
      </c>
      <c r="R28" s="9">
        <f>MAX(F28,G28,H28,I28,J28,K28,L28,M28,N28,O28,P28,Q28)</f>
        <v>0.41560000000000002</v>
      </c>
      <c r="S28" s="34">
        <f t="shared" si="0"/>
        <v>0.83286573146292586</v>
      </c>
    </row>
    <row r="29" spans="1:19" ht="12.75" customHeight="1">
      <c r="A29" s="173"/>
      <c r="B29" s="173"/>
      <c r="C29" s="43" t="s">
        <v>152</v>
      </c>
      <c r="D29" s="80">
        <v>300000</v>
      </c>
      <c r="E29" s="39" t="s">
        <v>137</v>
      </c>
      <c r="F29" s="9">
        <f>+'Seguim Proy inversión 2016'!F32</f>
        <v>32506</v>
      </c>
      <c r="G29" s="9">
        <f>+'Seguim Proy inversión 2016'!G32</f>
        <v>16161</v>
      </c>
      <c r="H29" s="9">
        <f>+'Seguim Proy inversión 2016'!H32</f>
        <v>39015</v>
      </c>
      <c r="I29" s="9">
        <f>+'Seguim Proy inversión 2016'!I32</f>
        <v>23974</v>
      </c>
      <c r="J29" s="9">
        <f>+'Seguim Proy inversión 2016'!J32</f>
        <v>31864</v>
      </c>
      <c r="K29" s="9">
        <f>+'Seguim Proy inversión 2016'!K32</f>
        <v>0</v>
      </c>
      <c r="L29" s="9">
        <f>+'Seguim Proy inversión 2016'!L32</f>
        <v>0</v>
      </c>
      <c r="M29" s="9">
        <f>+'Seguim Proy inversión 2016'!M32</f>
        <v>0</v>
      </c>
      <c r="N29" s="9">
        <f>+'Seguim Proy inversión 2016'!N32</f>
        <v>0</v>
      </c>
      <c r="O29" s="9">
        <f>+'Seguim Proy inversión 2016'!O32</f>
        <v>0</v>
      </c>
      <c r="P29" s="9">
        <f>+'Seguim Proy inversión 2016'!P32</f>
        <v>0</v>
      </c>
      <c r="Q29" s="9">
        <f>+'Seguim Proy inversión 2016'!Q32</f>
        <v>0</v>
      </c>
      <c r="R29" s="9">
        <f>+SUM(F29,G29,H29,I29,J29,K29,L29,M29,N29,O29,P29,Q29)</f>
        <v>143520</v>
      </c>
      <c r="S29" s="34">
        <f t="shared" si="0"/>
        <v>0.47839999999999999</v>
      </c>
    </row>
    <row r="30" spans="1:19" ht="12.75" customHeight="1">
      <c r="A30" s="173"/>
      <c r="B30" s="173"/>
      <c r="C30" s="43" t="s">
        <v>186</v>
      </c>
      <c r="D30" s="80">
        <v>280000</v>
      </c>
      <c r="E30" s="39" t="s">
        <v>137</v>
      </c>
      <c r="F30" s="9">
        <f>+'Seguim Proy inversión 2016'!F33</f>
        <v>2326</v>
      </c>
      <c r="G30" s="9">
        <f>+'Seguim Proy inversión 2016'!G33</f>
        <v>6542</v>
      </c>
      <c r="H30" s="9">
        <f>+'Seguim Proy inversión 2016'!H33</f>
        <v>43776</v>
      </c>
      <c r="I30" s="9">
        <f>+'Seguim Proy inversión 2016'!I33</f>
        <v>42504</v>
      </c>
      <c r="J30" s="9">
        <f>+'Seguim Proy inversión 2016'!J33</f>
        <v>33937</v>
      </c>
      <c r="K30" s="9">
        <f>+'Seguim Proy inversión 2016'!K33</f>
        <v>0</v>
      </c>
      <c r="L30" s="9">
        <f>+'Seguim Proy inversión 2016'!L33</f>
        <v>0</v>
      </c>
      <c r="M30" s="9">
        <f>+'Seguim Proy inversión 2016'!M33</f>
        <v>0</v>
      </c>
      <c r="N30" s="9">
        <f>+'Seguim Proy inversión 2016'!N33</f>
        <v>0</v>
      </c>
      <c r="O30" s="9">
        <f>+'Seguim Proy inversión 2016'!O33</f>
        <v>0</v>
      </c>
      <c r="P30" s="9">
        <f>+'Seguim Proy inversión 2016'!P33</f>
        <v>0</v>
      </c>
      <c r="Q30" s="9">
        <f>+'Seguim Proy inversión 2016'!Q33</f>
        <v>0</v>
      </c>
      <c r="R30" s="9">
        <f>+SUM(F30,G30,H30,I30,J30,K30,L30,M30,N30,O30,P30,Q30)</f>
        <v>129085</v>
      </c>
      <c r="S30" s="34">
        <f t="shared" si="0"/>
        <v>0.46101785714285715</v>
      </c>
    </row>
    <row r="31" spans="1:19" ht="12.75" customHeight="1">
      <c r="A31" s="173"/>
      <c r="B31" s="7">
        <v>792</v>
      </c>
      <c r="C31" s="7" t="s">
        <v>158</v>
      </c>
      <c r="D31" s="80">
        <v>1</v>
      </c>
      <c r="E31" s="39" t="s">
        <v>159</v>
      </c>
      <c r="F31" s="9">
        <f>+'Seguim Proy inversión 2016'!F37</f>
        <v>0</v>
      </c>
      <c r="G31" s="9">
        <f>+'Seguim Proy inversión 2016'!G37</f>
        <v>0</v>
      </c>
      <c r="H31" s="9">
        <f>+'Seguim Proy inversión 2016'!H37</f>
        <v>0</v>
      </c>
      <c r="I31" s="9">
        <f>+'Seguim Proy inversión 2016'!I37</f>
        <v>0</v>
      </c>
      <c r="J31" s="34">
        <f>+'Seguim Proy inversión 2016'!J37</f>
        <v>0.34</v>
      </c>
      <c r="K31" s="9">
        <f>+'Seguim Proy inversión 2016'!K37</f>
        <v>0</v>
      </c>
      <c r="L31" s="9">
        <f>+'Seguim Proy inversión 2016'!L37</f>
        <v>0</v>
      </c>
      <c r="M31" s="9">
        <f>+'Seguim Proy inversión 2016'!M37</f>
        <v>0</v>
      </c>
      <c r="N31" s="9">
        <f>+'Seguim Proy inversión 2016'!N37</f>
        <v>0</v>
      </c>
      <c r="O31" s="9">
        <f>+'Seguim Proy inversión 2016'!O37</f>
        <v>0</v>
      </c>
      <c r="P31" s="9">
        <f>+'Seguim Proy inversión 2016'!P37</f>
        <v>0</v>
      </c>
      <c r="Q31" s="9">
        <f>+'Seguim Proy inversión 2016'!Q37</f>
        <v>0</v>
      </c>
      <c r="R31" s="9">
        <f>MAX(F31,G31,H31,I31,J31,K31,L31,M31,N31,O31,P31,Q31)</f>
        <v>0.34</v>
      </c>
      <c r="S31" s="34">
        <f t="shared" si="0"/>
        <v>0.34</v>
      </c>
    </row>
    <row r="32" spans="1:19" ht="12.75" customHeight="1">
      <c r="A32" s="173"/>
      <c r="B32" s="7">
        <v>787</v>
      </c>
      <c r="C32" s="7" t="s">
        <v>162</v>
      </c>
      <c r="D32" s="80">
        <v>6</v>
      </c>
      <c r="E32" s="39" t="s">
        <v>163</v>
      </c>
      <c r="F32" s="9">
        <f>+'Seguim Proy inversión 2016'!F39</f>
        <v>0</v>
      </c>
      <c r="G32" s="9">
        <f>+'Seguim Proy inversión 2016'!G39</f>
        <v>0</v>
      </c>
      <c r="H32" s="9">
        <f>+'Seguim Proy inversión 2016'!H39</f>
        <v>0</v>
      </c>
      <c r="I32" s="9">
        <v>0</v>
      </c>
      <c r="J32" s="9">
        <f>+'Seguim Proy inversión 2016'!J39</f>
        <v>0</v>
      </c>
      <c r="K32" s="9">
        <f>+'Seguim Proy inversión 2016'!K39</f>
        <v>0</v>
      </c>
      <c r="L32" s="9">
        <f>+'Seguim Proy inversión 2016'!L39</f>
        <v>0</v>
      </c>
      <c r="M32" s="9">
        <f>+'Seguim Proy inversión 2016'!M39</f>
        <v>0</v>
      </c>
      <c r="N32" s="9">
        <f>+'Seguim Proy inversión 2016'!N39</f>
        <v>0</v>
      </c>
      <c r="O32" s="9">
        <f>+'Seguim Proy inversión 2016'!O39</f>
        <v>0</v>
      </c>
      <c r="P32" s="9">
        <f>+'Seguim Proy inversión 2016'!P39</f>
        <v>0</v>
      </c>
      <c r="Q32" s="9">
        <f>+'Seguim Proy inversión 2016'!Q39</f>
        <v>0</v>
      </c>
      <c r="R32" s="9">
        <f>MAX(F32,G32,H32,I32,J32,K32,L32,M32,N32,O32,P32,Q32)</f>
        <v>0</v>
      </c>
      <c r="S32" s="34">
        <f t="shared" si="0"/>
        <v>0</v>
      </c>
    </row>
    <row r="33" spans="1:19" ht="12.75" customHeight="1">
      <c r="A33" s="173"/>
      <c r="B33" s="173">
        <v>944</v>
      </c>
      <c r="C33" s="7" t="s">
        <v>164</v>
      </c>
      <c r="D33" s="80">
        <v>6</v>
      </c>
      <c r="E33" s="39" t="s">
        <v>165</v>
      </c>
      <c r="F33" s="9">
        <f>+'Seguim Proy inversión 2016'!F40</f>
        <v>0</v>
      </c>
      <c r="G33" s="9">
        <f>+'Seguim Proy inversión 2016'!G40</f>
        <v>0</v>
      </c>
      <c r="H33" s="9">
        <f>+'Seguim Proy inversión 2016'!H40</f>
        <v>0</v>
      </c>
      <c r="I33" s="9">
        <f>+'Seguim Proy inversión 2016'!I40</f>
        <v>3</v>
      </c>
      <c r="J33" s="9">
        <f>+'Seguim Proy inversión 2016'!J40</f>
        <v>3</v>
      </c>
      <c r="K33" s="9">
        <f>+'Seguim Proy inversión 2016'!K40</f>
        <v>0</v>
      </c>
      <c r="L33" s="9">
        <f>+'Seguim Proy inversión 2016'!L40</f>
        <v>0</v>
      </c>
      <c r="M33" s="9">
        <f>+'Seguim Proy inversión 2016'!M40</f>
        <v>0</v>
      </c>
      <c r="N33" s="9">
        <f>+'Seguim Proy inversión 2016'!N40</f>
        <v>0</v>
      </c>
      <c r="O33" s="9">
        <f>+'Seguim Proy inversión 2016'!O40</f>
        <v>0</v>
      </c>
      <c r="P33" s="9">
        <f>+'Seguim Proy inversión 2016'!P40</f>
        <v>0</v>
      </c>
      <c r="Q33" s="9">
        <f>+'Seguim Proy inversión 2016'!Q40</f>
        <v>0</v>
      </c>
      <c r="R33" s="9">
        <f>+SUM(F33,G33,H33,I33,J33,K33,L33,M33,N33,O33,P33,Q33)</f>
        <v>6</v>
      </c>
      <c r="S33" s="34">
        <f t="shared" si="0"/>
        <v>1</v>
      </c>
    </row>
    <row r="34" spans="1:19" ht="12.75" customHeight="1">
      <c r="A34" s="173"/>
      <c r="B34" s="173"/>
      <c r="C34" s="7" t="s">
        <v>168</v>
      </c>
      <c r="D34" s="80">
        <v>1</v>
      </c>
      <c r="E34" s="39" t="s">
        <v>169</v>
      </c>
      <c r="F34" s="9">
        <f>+'Seguim Proy inversión 2016'!F42</f>
        <v>0</v>
      </c>
      <c r="G34" s="9">
        <f>+'Seguim Proy inversión 2016'!G42</f>
        <v>0</v>
      </c>
      <c r="H34" s="9">
        <f>+'Seguim Proy inversión 2016'!H42</f>
        <v>0</v>
      </c>
      <c r="I34" s="9">
        <f>+'Seguim Proy inversión 2016'!I42</f>
        <v>0</v>
      </c>
      <c r="J34" s="9">
        <f>+'Seguim Proy inversión 2016'!J42</f>
        <v>0</v>
      </c>
      <c r="K34" s="9">
        <f>+'Seguim Proy inversión 2016'!K42</f>
        <v>0</v>
      </c>
      <c r="L34" s="9">
        <f>+'Seguim Proy inversión 2016'!L42</f>
        <v>0</v>
      </c>
      <c r="M34" s="9">
        <f>+'Seguim Proy inversión 2016'!M42</f>
        <v>0</v>
      </c>
      <c r="N34" s="9">
        <f>+'Seguim Proy inversión 2016'!N42</f>
        <v>0</v>
      </c>
      <c r="O34" s="9">
        <f>+'Seguim Proy inversión 2016'!O42</f>
        <v>0</v>
      </c>
      <c r="P34" s="9">
        <f>+'Seguim Proy inversión 2016'!P42</f>
        <v>0</v>
      </c>
      <c r="Q34" s="9">
        <f>+'Seguim Proy inversión 2016'!Q42</f>
        <v>0</v>
      </c>
      <c r="R34" s="9">
        <f>MAX(F34,G34,H34,I34,J34,K34,L34,M34,N34,O34,P34,Q34)</f>
        <v>0</v>
      </c>
      <c r="S34" s="34">
        <f t="shared" si="0"/>
        <v>0</v>
      </c>
    </row>
    <row r="35" spans="1:19" ht="12.75" customHeight="1">
      <c r="A35" s="173"/>
      <c r="B35" s="7">
        <v>784</v>
      </c>
      <c r="C35" s="7" t="s">
        <v>174</v>
      </c>
      <c r="D35" s="82">
        <v>1</v>
      </c>
      <c r="E35" s="39" t="s">
        <v>175</v>
      </c>
      <c r="F35" s="9">
        <f>+'Seguim Proy inversión 2016'!F45</f>
        <v>0</v>
      </c>
      <c r="G35" s="9">
        <f>+'Seguim Proy inversión 2016'!G45</f>
        <v>0</v>
      </c>
      <c r="H35" s="9">
        <f>+'Seguim Proy inversión 2016'!H45</f>
        <v>0.78</v>
      </c>
      <c r="I35" s="9">
        <f>+'Seguim Proy inversión 2016'!I45</f>
        <v>0.78</v>
      </c>
      <c r="J35" s="9">
        <f>+'Seguim Proy inversión 2016'!J45</f>
        <v>0.81</v>
      </c>
      <c r="K35" s="9">
        <f>+'Seguim Proy inversión 2016'!K45</f>
        <v>0</v>
      </c>
      <c r="L35" s="9">
        <f>+'Seguim Proy inversión 2016'!L45</f>
        <v>0</v>
      </c>
      <c r="M35" s="9">
        <f>+'Seguim Proy inversión 2016'!M45</f>
        <v>0</v>
      </c>
      <c r="N35" s="9">
        <f>+'Seguim Proy inversión 2016'!N45</f>
        <v>0</v>
      </c>
      <c r="O35" s="9">
        <f>+'Seguim Proy inversión 2016'!O45</f>
        <v>0</v>
      </c>
      <c r="P35" s="9">
        <f>+'Seguim Proy inversión 2016'!P45</f>
        <v>0</v>
      </c>
      <c r="Q35" s="9">
        <f>+'Seguim Proy inversión 2016'!Q45</f>
        <v>0</v>
      </c>
      <c r="R35" s="9">
        <f>MAX(F35,G35,H35,I35,J35,K35,L35,M35,N35,O35,P35,Q35)</f>
        <v>0.81</v>
      </c>
      <c r="S35" s="34">
        <f t="shared" si="0"/>
        <v>0.81</v>
      </c>
    </row>
    <row r="36" spans="1:19" s="15" customFormat="1" ht="12.75" customHeight="1">
      <c r="A36" s="13"/>
      <c r="B36" s="13"/>
      <c r="C36" s="13"/>
      <c r="D36" s="13"/>
      <c r="E36" s="13"/>
      <c r="F36" s="14">
        <v>0.8</v>
      </c>
      <c r="G36" s="14">
        <v>0.8</v>
      </c>
      <c r="H36" s="14">
        <v>0.8</v>
      </c>
      <c r="I36" s="14">
        <v>0.8</v>
      </c>
      <c r="J36" s="14">
        <v>0.8</v>
      </c>
      <c r="K36" s="14">
        <v>0.8</v>
      </c>
      <c r="L36" s="14">
        <v>0.8</v>
      </c>
      <c r="M36" s="14">
        <v>0.8</v>
      </c>
      <c r="N36" s="14">
        <v>0.8</v>
      </c>
      <c r="O36" s="14">
        <v>0.8</v>
      </c>
      <c r="P36" s="14">
        <v>0.8</v>
      </c>
      <c r="Q36" s="14">
        <v>0.8</v>
      </c>
      <c r="R36" s="14"/>
      <c r="S36" s="35"/>
    </row>
    <row r="37" spans="1:19" ht="30" customHeight="1">
      <c r="A37" s="174" t="s">
        <v>96</v>
      </c>
      <c r="B37" s="174"/>
      <c r="C37" s="174"/>
      <c r="D37" s="174"/>
      <c r="E37" s="174"/>
      <c r="F37" s="174"/>
      <c r="G37" s="174"/>
      <c r="H37" s="174"/>
      <c r="I37" s="174"/>
      <c r="J37" s="174"/>
      <c r="K37" s="174"/>
      <c r="L37" s="174"/>
      <c r="M37" s="174"/>
      <c r="N37" s="176"/>
      <c r="O37" s="176"/>
      <c r="P37" s="176"/>
      <c r="Q37" s="176"/>
      <c r="R37" s="176"/>
      <c r="S37" s="176"/>
    </row>
    <row r="38" spans="1:19" ht="36.6" customHeight="1">
      <c r="A38" s="21"/>
      <c r="B38" s="21"/>
      <c r="C38" s="21"/>
      <c r="D38" s="21"/>
      <c r="E38" s="21"/>
      <c r="F38" s="21"/>
      <c r="G38" s="21"/>
      <c r="H38" s="21"/>
      <c r="I38" s="21"/>
      <c r="J38" s="21"/>
      <c r="K38" s="22"/>
      <c r="L38" s="22"/>
      <c r="M38" s="22"/>
      <c r="N38" s="177" t="s">
        <v>105</v>
      </c>
      <c r="O38" s="177"/>
      <c r="P38" s="177"/>
      <c r="Q38" s="177"/>
      <c r="R38" s="177"/>
      <c r="S38" s="177"/>
    </row>
    <row r="39" spans="1:19" ht="36.6" customHeight="1">
      <c r="A39" s="21"/>
      <c r="B39" s="21"/>
      <c r="C39" s="21"/>
      <c r="D39" s="21"/>
      <c r="E39" s="21"/>
      <c r="F39" s="21"/>
      <c r="G39" s="21"/>
      <c r="H39" s="21"/>
      <c r="I39" s="21"/>
      <c r="J39" s="21"/>
      <c r="K39" s="22"/>
      <c r="L39" s="22"/>
      <c r="M39" s="22"/>
      <c r="N39" s="173" t="s">
        <v>26</v>
      </c>
      <c r="O39" s="173"/>
      <c r="P39" s="173"/>
      <c r="Q39" s="173"/>
      <c r="R39" s="173"/>
      <c r="S39" s="173"/>
    </row>
    <row r="40" spans="1:19" ht="36.6" customHeight="1">
      <c r="A40" s="21"/>
      <c r="B40" s="21"/>
      <c r="C40" s="21"/>
      <c r="D40" s="21"/>
      <c r="E40" s="21"/>
      <c r="F40" s="21"/>
      <c r="G40" s="21"/>
      <c r="H40" s="21"/>
      <c r="I40" s="21"/>
      <c r="J40" s="21"/>
      <c r="K40" s="22"/>
      <c r="L40" s="22"/>
      <c r="M40" s="22"/>
      <c r="N40" s="173" t="s">
        <v>27</v>
      </c>
      <c r="O40" s="173"/>
      <c r="P40" s="173"/>
      <c r="Q40" s="173"/>
      <c r="R40" s="173"/>
      <c r="S40" s="173"/>
    </row>
  </sheetData>
  <sheetProtection selectLockedCells="1" selectUnlockedCells="1"/>
  <mergeCells count="29">
    <mergeCell ref="P10:S10"/>
    <mergeCell ref="A11:F11"/>
    <mergeCell ref="G11:L11"/>
    <mergeCell ref="M11:O11"/>
    <mergeCell ref="P11:S11"/>
    <mergeCell ref="A10:F10"/>
    <mergeCell ref="G10:L10"/>
    <mergeCell ref="M10:O10"/>
    <mergeCell ref="A1:T3"/>
    <mergeCell ref="A4:T6"/>
    <mergeCell ref="A7:S7"/>
    <mergeCell ref="A8:S8"/>
    <mergeCell ref="A9:F9"/>
    <mergeCell ref="G9:L9"/>
    <mergeCell ref="M9:O9"/>
    <mergeCell ref="P9:S9"/>
    <mergeCell ref="N38:S38"/>
    <mergeCell ref="N39:S39"/>
    <mergeCell ref="N40:S40"/>
    <mergeCell ref="A13:S13"/>
    <mergeCell ref="A15:A35"/>
    <mergeCell ref="B15:B16"/>
    <mergeCell ref="B17:B18"/>
    <mergeCell ref="B19:B21"/>
    <mergeCell ref="B28:B30"/>
    <mergeCell ref="B33:B34"/>
    <mergeCell ref="A37:M37"/>
    <mergeCell ref="N37:S37"/>
    <mergeCell ref="B22:B27"/>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Modificaciones Plan Acción</vt:lpstr>
      <vt:lpstr>DEI01-Plan Acción 2015</vt:lpstr>
      <vt:lpstr>Seguim Proy inversión 2015</vt:lpstr>
      <vt:lpstr>Seguim Avance  % Metas 2015</vt:lpstr>
      <vt:lpstr>Seguim Proy inversión 2016</vt:lpstr>
      <vt:lpstr>Seguim Avance  % Metas 2016</vt:lpstr>
      <vt:lpstr>DEI02-Avance Plan Plurianual BH</vt:lpstr>
      <vt:lpstr>Seguim Avance Metas PDD 2015</vt:lpstr>
      <vt:lpstr>Seguim Avance Metas PDD 2016</vt:lpstr>
      <vt:lpstr>Avance Acumulado Metas PDD</vt:lpstr>
      <vt:lpstr>Seguim Avance % Metas PDD</vt:lpstr>
      <vt:lpstr>DEI03-Ava Acum PDD BH por proy</vt:lpstr>
      <vt:lpstr>PIGA - Seguimiento</vt:lpstr>
      <vt:lpstr>Datos PIGA</vt:lpstr>
      <vt:lpstr>Seguim Metas PDD</vt:lpstr>
      <vt:lpstr>DEI04-SIST INF SECTOR 2015</vt:lpstr>
      <vt:lpstr>'Avance Acumulado Metas PDD'!Área_de_impresión</vt:lpstr>
      <vt:lpstr>'DEI01-Plan Acción 2015'!Área_de_impresión</vt:lpstr>
      <vt:lpstr>'DEI02-Avance Plan Plurianual BH'!Área_de_impresión</vt:lpstr>
      <vt:lpstr>'DEI03-Ava Acum PDD BH por proy'!Área_de_impresión</vt:lpstr>
      <vt:lpstr>'DEI04-SIST INF SECTOR 2015'!Área_de_impresión</vt:lpstr>
      <vt:lpstr>'Modificaciones Plan Acción'!Área_de_impresión</vt:lpstr>
      <vt:lpstr>'PIGA - Seguimiento'!Área_de_impresión</vt:lpstr>
      <vt:lpstr>'Seguim Avance  % Metas 2015'!Área_de_impresión</vt:lpstr>
      <vt:lpstr>'Seguim Avance  % Metas 2016'!Área_de_impresión</vt:lpstr>
      <vt:lpstr>'Seguim Avance % Metas PDD'!Área_de_impresión</vt:lpstr>
      <vt:lpstr>'Seguim Proy inversión 2015'!Área_de_impresión</vt:lpstr>
      <vt:lpstr>'Seguim Proy inversión 2016'!Área_de_impresión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JOSALA</dc:creator>
  <cp:lastModifiedBy>JOSALA</cp:lastModifiedBy>
  <cp:lastPrinted>2017-05-17T22:34:22Z</cp:lastPrinted>
  <dcterms:created xsi:type="dcterms:W3CDTF">2017-05-16T20:05:29Z</dcterms:created>
  <dcterms:modified xsi:type="dcterms:W3CDTF">2017-05-17T22:35:07Z</dcterms:modified>
</cp:coreProperties>
</file>